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Data\4 Reference Material &amp; Stds\AASB 119 Employee Entitlements (Calculations Templates)\2024\"/>
    </mc:Choice>
  </mc:AlternateContent>
  <xr:revisionPtr revIDLastSave="0" documentId="13_ncr:1_{210C6A4E-1422-4DE5-A5B1-AE042D86C533}" xr6:coauthVersionLast="47" xr6:coauthVersionMax="47" xr10:uidLastSave="{00000000-0000-0000-0000-000000000000}"/>
  <bookViews>
    <workbookView xWindow="1125" yWindow="375" windowWidth="24150" windowHeight="17130" xr2:uid="{00000000-000D-0000-FFFF-FFFF00000000}"/>
  </bookViews>
  <sheets>
    <sheet name="Data Sheet" sheetId="2" r:id="rId1"/>
    <sheet name="LSL Provision" sheetId="1" r:id="rId2"/>
  </sheets>
  <definedNames>
    <definedName name="_xlnm.Print_Area" localSheetId="0">'Data Sheet'!$A$1:$R$188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C18" i="2"/>
  <c r="T18" i="2"/>
  <c r="T21" i="2"/>
  <c r="AP18" i="2" l="1"/>
  <c r="AP19" i="2" s="1"/>
  <c r="AP20" i="2" s="1"/>
  <c r="AP21" i="2" s="1"/>
  <c r="AP22" i="2" s="1"/>
  <c r="AP23" i="2" s="1"/>
  <c r="AP24" i="2" s="1"/>
  <c r="AP25" i="2" s="1"/>
  <c r="AP26" i="2" s="1"/>
  <c r="AP27" i="2" s="1"/>
  <c r="AP28" i="2" s="1"/>
  <c r="AP29" i="2" s="1"/>
  <c r="AP30" i="2" s="1"/>
  <c r="AP31" i="2" s="1"/>
  <c r="F7" i="1"/>
  <c r="F8" i="1"/>
  <c r="I8" i="1"/>
  <c r="F18" i="2"/>
  <c r="L8" i="1"/>
  <c r="K7" i="1"/>
  <c r="J7" i="1"/>
  <c r="O8" i="1"/>
  <c r="O7" i="1"/>
  <c r="K8" i="1"/>
  <c r="E8" i="1"/>
  <c r="D7" i="1"/>
  <c r="E7" i="1"/>
  <c r="D8" i="1"/>
  <c r="N7" i="1"/>
  <c r="L7" i="1"/>
  <c r="U18" i="2"/>
  <c r="U21" i="2" s="1"/>
  <c r="Z15" i="2"/>
  <c r="B30" i="1"/>
  <c r="A7" i="1"/>
  <c r="C7" i="1"/>
  <c r="I7" i="1"/>
  <c r="M7" i="1"/>
  <c r="P7" i="1"/>
  <c r="C8" i="1"/>
  <c r="J8" i="1"/>
  <c r="M8" i="1"/>
  <c r="N14" i="1" s="1"/>
  <c r="N17" i="1" s="1"/>
  <c r="N8" i="1"/>
  <c r="P8" i="1"/>
  <c r="C9" i="1"/>
  <c r="D9" i="1"/>
  <c r="E9" i="1"/>
  <c r="F9" i="1"/>
  <c r="I9" i="1"/>
  <c r="J9" i="1"/>
  <c r="K9" i="1"/>
  <c r="L9" i="1"/>
  <c r="M9" i="1"/>
  <c r="N9" i="1"/>
  <c r="O9" i="1"/>
  <c r="P9" i="1"/>
  <c r="C17" i="1"/>
  <c r="D30" i="1"/>
  <c r="D59" i="1" s="1"/>
  <c r="E59" i="1" s="1"/>
  <c r="J59" i="1" s="1"/>
  <c r="B31" i="1"/>
  <c r="C31" i="1"/>
  <c r="E31" i="1" s="1"/>
  <c r="B32" i="1"/>
  <c r="C32" i="1"/>
  <c r="B35" i="1"/>
  <c r="C35" i="1"/>
  <c r="B36" i="1"/>
  <c r="C36" i="1"/>
  <c r="B37" i="1"/>
  <c r="C37" i="1"/>
  <c r="B38" i="1"/>
  <c r="C38" i="1"/>
  <c r="B39" i="1"/>
  <c r="C39" i="1"/>
  <c r="B40" i="1"/>
  <c r="C40" i="1"/>
  <c r="B41" i="1"/>
  <c r="C41" i="1"/>
  <c r="B42" i="1"/>
  <c r="C42" i="1"/>
  <c r="B43" i="1"/>
  <c r="C43" i="1"/>
  <c r="B44" i="1"/>
  <c r="C44" i="1"/>
  <c r="B11" i="2"/>
  <c r="A8" i="1" s="1"/>
  <c r="Z16" i="2"/>
  <c r="F22" i="2"/>
  <c r="F35" i="1" s="1"/>
  <c r="F23" i="2"/>
  <c r="F36" i="1" s="1"/>
  <c r="F24" i="2"/>
  <c r="F37" i="1" s="1"/>
  <c r="F25" i="2"/>
  <c r="F38" i="1" s="1"/>
  <c r="F26" i="2"/>
  <c r="F39" i="1" s="1"/>
  <c r="F27" i="2"/>
  <c r="F40" i="1" s="1"/>
  <c r="F28" i="2"/>
  <c r="F41" i="1" s="1"/>
  <c r="F29" i="2"/>
  <c r="F42" i="1" s="1"/>
  <c r="I42" i="1" s="1"/>
  <c r="F30" i="2"/>
  <c r="F43" i="1" s="1"/>
  <c r="F31" i="2"/>
  <c r="F44" i="1" s="1"/>
  <c r="C32" i="2"/>
  <c r="D32" i="2"/>
  <c r="J32" i="2"/>
  <c r="L32" i="2"/>
  <c r="AB34" i="2"/>
  <c r="N76" i="2"/>
  <c r="N87" i="2" s="1"/>
  <c r="N77" i="2"/>
  <c r="N88" i="2" s="1"/>
  <c r="L87" i="2"/>
  <c r="P87" i="2"/>
  <c r="P89" i="2" s="1"/>
  <c r="P90" i="2" s="1"/>
  <c r="L88" i="2"/>
  <c r="O88" i="2"/>
  <c r="P88" i="2"/>
  <c r="C70" i="1"/>
  <c r="B12" i="2"/>
  <c r="A9" i="1" s="1"/>
  <c r="E15" i="1" l="1"/>
  <c r="E18" i="1" s="1"/>
  <c r="N89" i="2"/>
  <c r="V18" i="2"/>
  <c r="O87" i="2"/>
  <c r="O89" i="2" s="1"/>
  <c r="J18" i="2"/>
  <c r="O19" i="1"/>
  <c r="O20" i="1" s="1"/>
  <c r="J15" i="1"/>
  <c r="J18" i="1" s="1"/>
  <c r="L14" i="1"/>
  <c r="L17" i="1" s="1"/>
  <c r="O15" i="1"/>
  <c r="O18" i="1" s="1"/>
  <c r="M14" i="1"/>
  <c r="M17" i="1" s="1"/>
  <c r="D15" i="1"/>
  <c r="D18" i="1" s="1"/>
  <c r="K15" i="1"/>
  <c r="K18" i="1" s="1"/>
  <c r="D41" i="1"/>
  <c r="D66" i="1" s="1"/>
  <c r="E66" i="1" s="1"/>
  <c r="F15" i="1"/>
  <c r="F18" i="1" s="1"/>
  <c r="G35" i="1"/>
  <c r="H35" i="1" s="1"/>
  <c r="C45" i="1"/>
  <c r="K14" i="1"/>
  <c r="K17" i="1" s="1"/>
  <c r="E14" i="1"/>
  <c r="E17" i="1" s="1"/>
  <c r="G44" i="1"/>
  <c r="H44" i="1" s="1"/>
  <c r="R8" i="1"/>
  <c r="G39" i="1"/>
  <c r="H39" i="1" s="1"/>
  <c r="D40" i="1"/>
  <c r="I15" i="1"/>
  <c r="I18" i="1" s="1"/>
  <c r="D14" i="1"/>
  <c r="D17" i="1" s="1"/>
  <c r="I14" i="1"/>
  <c r="I17" i="1" s="1"/>
  <c r="G38" i="1"/>
  <c r="H38" i="1" s="1"/>
  <c r="D37" i="1"/>
  <c r="E37" i="1" s="1"/>
  <c r="D43" i="1"/>
  <c r="D36" i="1"/>
  <c r="D38" i="1"/>
  <c r="F14" i="1"/>
  <c r="F17" i="1" s="1"/>
  <c r="G41" i="1"/>
  <c r="H41" i="1" s="1"/>
  <c r="G37" i="1"/>
  <c r="H37" i="1" s="1"/>
  <c r="N15" i="1"/>
  <c r="N18" i="1" s="1"/>
  <c r="A14" i="1"/>
  <c r="B45" i="1"/>
  <c r="J14" i="1"/>
  <c r="J17" i="1" s="1"/>
  <c r="D35" i="1"/>
  <c r="D60" i="1" s="1"/>
  <c r="E60" i="1" s="1"/>
  <c r="M15" i="1"/>
  <c r="M18" i="1" s="1"/>
  <c r="D42" i="1"/>
  <c r="D67" i="1" s="1"/>
  <c r="E67" i="1" s="1"/>
  <c r="D44" i="1"/>
  <c r="E44" i="1" s="1"/>
  <c r="D39" i="1"/>
  <c r="D64" i="1" s="1"/>
  <c r="E64" i="1" s="1"/>
  <c r="D32" i="1"/>
  <c r="E32" i="1" s="1"/>
  <c r="J32" i="1" s="1"/>
  <c r="L15" i="1"/>
  <c r="L16" i="1" s="1"/>
  <c r="K19" i="1" s="1"/>
  <c r="K20" i="1" s="1"/>
  <c r="G40" i="1"/>
  <c r="H40" i="1" s="1"/>
  <c r="G42" i="1"/>
  <c r="H42" i="1" s="1"/>
  <c r="O14" i="1"/>
  <c r="O17" i="1" s="1"/>
  <c r="R9" i="1"/>
  <c r="R7" i="1"/>
  <c r="A15" i="1"/>
  <c r="J31" i="1"/>
  <c r="L31" i="1" s="1"/>
  <c r="G36" i="1"/>
  <c r="H36" i="1" s="1"/>
  <c r="G43" i="1"/>
  <c r="H43" i="1" s="1"/>
  <c r="L18" i="2"/>
  <c r="I44" i="1"/>
  <c r="I37" i="1"/>
  <c r="I39" i="1"/>
  <c r="I67" i="1"/>
  <c r="I36" i="1"/>
  <c r="I35" i="1"/>
  <c r="I43" i="1"/>
  <c r="I41" i="1"/>
  <c r="I40" i="1"/>
  <c r="I38" i="1"/>
  <c r="V21" i="2" l="1"/>
  <c r="W18" i="2"/>
  <c r="E16" i="1"/>
  <c r="D19" i="1" s="1"/>
  <c r="D20" i="1" s="1"/>
  <c r="K16" i="1"/>
  <c r="J19" i="1" s="1"/>
  <c r="J20" i="1" s="1"/>
  <c r="J16" i="1"/>
  <c r="I19" i="1" s="1"/>
  <c r="I20" i="1" s="1"/>
  <c r="J67" i="1"/>
  <c r="E41" i="1"/>
  <c r="J41" i="1" s="1"/>
  <c r="E35" i="1"/>
  <c r="J35" i="1" s="1"/>
  <c r="E39" i="1"/>
  <c r="J39" i="1" s="1"/>
  <c r="L18" i="1"/>
  <c r="I16" i="1"/>
  <c r="F19" i="1" s="1"/>
  <c r="F20" i="1" s="1"/>
  <c r="O16" i="1"/>
  <c r="N19" i="1" s="1"/>
  <c r="N20" i="1" s="1"/>
  <c r="F16" i="1"/>
  <c r="E19" i="1" s="1"/>
  <c r="E20" i="1" s="1"/>
  <c r="M16" i="1"/>
  <c r="L19" i="1" s="1"/>
  <c r="L20" i="1" s="1"/>
  <c r="D68" i="1"/>
  <c r="E68" i="1" s="1"/>
  <c r="E43" i="1"/>
  <c r="J43" i="1" s="1"/>
  <c r="D16" i="1"/>
  <c r="C19" i="1" s="1"/>
  <c r="C20" i="1" s="1"/>
  <c r="D22" i="1" s="1"/>
  <c r="E22" i="1" s="1"/>
  <c r="E38" i="1"/>
  <c r="J38" i="1" s="1"/>
  <c r="D63" i="1"/>
  <c r="E63" i="1" s="1"/>
  <c r="D65" i="1"/>
  <c r="E65" i="1" s="1"/>
  <c r="E40" i="1"/>
  <c r="J40" i="1" s="1"/>
  <c r="N16" i="1"/>
  <c r="M19" i="1" s="1"/>
  <c r="M20" i="1" s="1"/>
  <c r="D62" i="1"/>
  <c r="E62" i="1" s="1"/>
  <c r="J44" i="1"/>
  <c r="E42" i="1"/>
  <c r="J42" i="1" s="1"/>
  <c r="D61" i="1"/>
  <c r="E61" i="1" s="1"/>
  <c r="E36" i="1"/>
  <c r="J36" i="1" s="1"/>
  <c r="G46" i="1"/>
  <c r="I66" i="1"/>
  <c r="J66" i="1" s="1"/>
  <c r="I64" i="1"/>
  <c r="J64" i="1" s="1"/>
  <c r="I60" i="1"/>
  <c r="J60" i="1" s="1"/>
  <c r="I62" i="1"/>
  <c r="J37" i="1"/>
  <c r="I68" i="1"/>
  <c r="I63" i="1"/>
  <c r="H46" i="1"/>
  <c r="F47" i="1" s="1"/>
  <c r="F33" i="2" s="1"/>
  <c r="I65" i="1"/>
  <c r="I61" i="1"/>
  <c r="W21" i="2" l="1"/>
  <c r="X18" i="2"/>
  <c r="X21" i="2" s="1"/>
  <c r="J63" i="1"/>
  <c r="F22" i="1"/>
  <c r="I22" i="1" s="1"/>
  <c r="J22" i="1" s="1"/>
  <c r="K22" i="1" s="1"/>
  <c r="L22" i="1" s="1"/>
  <c r="M22" i="1" s="1"/>
  <c r="N22" i="1" s="1"/>
  <c r="O22" i="1" s="1"/>
  <c r="C23" i="1" s="1"/>
  <c r="K44" i="1" s="1"/>
  <c r="L44" i="1" s="1"/>
  <c r="J68" i="1"/>
  <c r="J61" i="1"/>
  <c r="J62" i="1"/>
  <c r="E45" i="1"/>
  <c r="J65" i="1"/>
  <c r="J45" i="1"/>
  <c r="N23" i="1" l="1"/>
  <c r="K35" i="1" s="1"/>
  <c r="L35" i="1" s="1"/>
  <c r="K23" i="1"/>
  <c r="K38" i="1" s="1"/>
  <c r="L38" i="1" s="1"/>
  <c r="E23" i="1"/>
  <c r="K42" i="1" s="1"/>
  <c r="L42" i="1" s="1"/>
  <c r="J23" i="1"/>
  <c r="K39" i="1" s="1"/>
  <c r="L39" i="1" s="1"/>
  <c r="L23" i="1"/>
  <c r="K37" i="1" s="1"/>
  <c r="L37" i="1" s="1"/>
  <c r="I23" i="1"/>
  <c r="K40" i="1" s="1"/>
  <c r="L40" i="1" s="1"/>
  <c r="M23" i="1"/>
  <c r="K36" i="1" s="1"/>
  <c r="L36" i="1" s="1"/>
  <c r="F23" i="1"/>
  <c r="K41" i="1" s="1"/>
  <c r="L41" i="1" s="1"/>
  <c r="D23" i="1"/>
  <c r="K43" i="1" s="1"/>
  <c r="L43" i="1" s="1"/>
  <c r="O23" i="1"/>
  <c r="K32" i="1" s="1"/>
  <c r="L32" i="1" s="1"/>
  <c r="M32" i="1" s="1"/>
  <c r="C71" i="1" s="1"/>
  <c r="J70" i="1"/>
  <c r="M68" i="1" s="1"/>
  <c r="L45" i="1" l="1"/>
  <c r="J71" i="1"/>
  <c r="M44" i="1"/>
  <c r="M67" i="1" s="1"/>
  <c r="M70" i="1" s="1"/>
  <c r="C83" i="1" s="1"/>
  <c r="M83" i="1" s="1"/>
  <c r="M84" i="1" s="1"/>
  <c r="M45" i="1" l="1"/>
  <c r="M46" i="1" s="1"/>
  <c r="T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jjt</author>
    <author>Tongs, Jeff</author>
  </authors>
  <commentList>
    <comment ref="F10" authorId="0" shapeId="0" xr:uid="{00000000-0006-0000-0000-000001000000}">
      <text>
        <r>
          <rPr>
            <b/>
            <sz val="9"/>
            <color indexed="81"/>
            <rFont val="Tahoma"/>
            <family val="2"/>
          </rPr>
          <t xml:space="preserve">Use applicable wage inflation rate:
</t>
        </r>
        <r>
          <rPr>
            <sz val="9"/>
            <color indexed="81"/>
            <rFont val="Tahoma"/>
            <family val="2"/>
          </rPr>
          <t>Consider wage increment rates agreed in employee enterprise barganing agreements.
(Departments - use rate as advised by DOTAF)</t>
        </r>
      </text>
    </comment>
    <comment ref="AL15" authorId="0" shapeId="0" xr:uid="{35D8AE9A-3647-4AD0-A42F-07117BD98696}">
      <text>
        <r>
          <rPr>
            <b/>
            <sz val="8"/>
            <color indexed="81"/>
            <rFont val="Tahoma"/>
            <family val="2"/>
          </rPr>
          <t>Based on:</t>
        </r>
        <r>
          <rPr>
            <sz val="8"/>
            <color indexed="81"/>
            <rFont val="Tahoma"/>
            <family val="2"/>
          </rPr>
          <t xml:space="preserve"> </t>
        </r>
        <r>
          <rPr>
            <b/>
            <sz val="8"/>
            <color indexed="81"/>
            <rFont val="Tahoma"/>
            <family val="2"/>
          </rPr>
          <t>Yieldbroker</t>
        </r>
        <r>
          <rPr>
            <sz val="8"/>
            <color indexed="81"/>
            <rFont val="Tahoma"/>
            <family val="2"/>
          </rPr>
          <t xml:space="preserve">
Indicative mid-rates of selected Australian Fixed Interest Bonds
Treasury Bonds</t>
        </r>
      </text>
    </comment>
    <comment ref="AM15" authorId="0" shapeId="0" xr:uid="{2F7E38BF-DE7C-4DF9-BEC0-E9832D3D6CE2}">
      <text>
        <r>
          <rPr>
            <b/>
            <sz val="8"/>
            <color indexed="81"/>
            <rFont val="Tahoma"/>
            <family val="2"/>
          </rPr>
          <t>Based on:</t>
        </r>
        <r>
          <rPr>
            <sz val="8"/>
            <color indexed="81"/>
            <rFont val="Tahoma"/>
            <family val="2"/>
          </rPr>
          <t xml:space="preserve"> </t>
        </r>
        <r>
          <rPr>
            <b/>
            <sz val="8"/>
            <color indexed="81"/>
            <rFont val="Tahoma"/>
            <family val="2"/>
          </rPr>
          <t>Tradeweb</t>
        </r>
        <r>
          <rPr>
            <sz val="8"/>
            <color indexed="81"/>
            <rFont val="Tahoma"/>
            <family val="2"/>
          </rPr>
          <t xml:space="preserve">
Indicative mid-rates of selected Australian Fixed Interest Bonds
</t>
        </r>
        <r>
          <rPr>
            <b/>
            <sz val="8"/>
            <color indexed="81"/>
            <rFont val="Tahoma"/>
            <family val="2"/>
          </rPr>
          <t>Treasury Bonds</t>
        </r>
      </text>
    </comment>
    <comment ref="AN15" authorId="0" shapeId="0" xr:uid="{FC8D5CAB-7A6E-41F3-8F80-283159ECFC47}">
      <text>
        <r>
          <rPr>
            <b/>
            <sz val="8"/>
            <color indexed="81"/>
            <rFont val="Tahoma"/>
            <family val="2"/>
          </rPr>
          <t>Based on:</t>
        </r>
        <r>
          <rPr>
            <sz val="8"/>
            <color indexed="81"/>
            <rFont val="Tahoma"/>
            <family val="2"/>
          </rPr>
          <t xml:space="preserve"> </t>
        </r>
        <r>
          <rPr>
            <b/>
            <sz val="8"/>
            <color indexed="81"/>
            <rFont val="Tahoma"/>
            <family val="2"/>
          </rPr>
          <t>Yieldbroker</t>
        </r>
        <r>
          <rPr>
            <sz val="8"/>
            <color indexed="81"/>
            <rFont val="Tahoma"/>
            <family val="2"/>
          </rPr>
          <t xml:space="preserve">
Indicative mid-rates of selected Australian Fixed Interest Bonds
Treasury Bonds</t>
        </r>
      </text>
    </comment>
    <comment ref="T16" authorId="0" shapeId="0" xr:uid="{00000000-0006-0000-0000-000002000000}">
      <text>
        <r>
          <rPr>
            <b/>
            <sz val="8"/>
            <color indexed="81"/>
            <rFont val="Tahoma"/>
            <family val="2"/>
          </rPr>
          <t xml:space="preserve">RBA: Based on- </t>
        </r>
        <r>
          <rPr>
            <sz val="8"/>
            <color indexed="81"/>
            <rFont val="Tahoma"/>
            <family val="2"/>
          </rPr>
          <t>F16 INDICATIVE MID RATES OF SELECTED COMMONWEALTH GOVERNMENT SECURITIES</t>
        </r>
      </text>
    </comment>
    <comment ref="U16" authorId="0" shapeId="0" xr:uid="{1CA1061D-E984-4F97-9FF2-F0671E472F28}">
      <text>
        <r>
          <rPr>
            <b/>
            <sz val="8"/>
            <color indexed="81"/>
            <rFont val="Tahoma"/>
            <family val="2"/>
          </rPr>
          <t>Based on:</t>
        </r>
        <r>
          <rPr>
            <sz val="8"/>
            <color indexed="81"/>
            <rFont val="Tahoma"/>
            <family val="2"/>
          </rPr>
          <t xml:space="preserve"> </t>
        </r>
        <r>
          <rPr>
            <b/>
            <sz val="8"/>
            <color indexed="81"/>
            <rFont val="Tahoma"/>
            <family val="2"/>
          </rPr>
          <t>Yieldbroker</t>
        </r>
        <r>
          <rPr>
            <sz val="8"/>
            <color indexed="81"/>
            <rFont val="Tahoma"/>
            <family val="2"/>
          </rPr>
          <t xml:space="preserve">
Indicative mid-rates of selected Australian Fixed Interest Bonds
Treasury Bonds</t>
        </r>
      </text>
    </comment>
    <comment ref="V16" authorId="0" shapeId="0" xr:uid="{CC18C05A-3FF3-438F-A84B-19F32D5C8CA2}">
      <text>
        <r>
          <rPr>
            <b/>
            <sz val="8"/>
            <color indexed="81"/>
            <rFont val="Tahoma"/>
            <family val="2"/>
          </rPr>
          <t>Based on:</t>
        </r>
        <r>
          <rPr>
            <sz val="8"/>
            <color indexed="81"/>
            <rFont val="Tahoma"/>
            <family val="2"/>
          </rPr>
          <t xml:space="preserve"> </t>
        </r>
        <r>
          <rPr>
            <b/>
            <sz val="8"/>
            <color indexed="81"/>
            <rFont val="Tahoma"/>
            <family val="2"/>
          </rPr>
          <t>Tradeweb</t>
        </r>
        <r>
          <rPr>
            <sz val="8"/>
            <color indexed="81"/>
            <rFont val="Tahoma"/>
            <family val="2"/>
          </rPr>
          <t xml:space="preserve">
Indicative mid-rates of selected Australian Fixed Interest Bonds
</t>
        </r>
        <r>
          <rPr>
            <b/>
            <sz val="8"/>
            <color indexed="81"/>
            <rFont val="Tahoma"/>
            <family val="2"/>
          </rPr>
          <t>Treasury Bonds</t>
        </r>
      </text>
    </comment>
    <comment ref="F19" authorId="0" shapeId="0" xr:uid="{00000000-0006-0000-0000-000007000000}">
      <text>
        <r>
          <rPr>
            <b/>
            <sz val="8"/>
            <color indexed="81"/>
            <rFont val="Tahoma"/>
            <family val="2"/>
          </rPr>
          <t>Enter Column Selection</t>
        </r>
      </text>
    </comment>
    <comment ref="F33" authorId="1" shapeId="0" xr:uid="{00000000-0006-0000-0000-000008000000}">
      <text>
        <r>
          <rPr>
            <b/>
            <sz val="9"/>
            <color indexed="81"/>
            <rFont val="Tahoma"/>
            <family val="2"/>
          </rPr>
          <t>Weighted Average Discount Rate -</t>
        </r>
        <r>
          <rPr>
            <sz val="9"/>
            <color indexed="81"/>
            <rFont val="Tahoma"/>
            <family val="2"/>
          </rPr>
          <t xml:space="preserve"> Calculation on following sheet based on your entities distribution of service values and applicable discount rates.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 Tongs</author>
  </authors>
  <commentList>
    <comment ref="C82" authorId="0" shapeId="0" xr:uid="{00000000-0006-0000-0100-000001000000}">
      <text>
        <r>
          <rPr>
            <b/>
            <sz val="9"/>
            <color indexed="81"/>
            <rFont val="Tahoma"/>
            <family val="2"/>
          </rPr>
          <t>From 1 Oct 2012 Departments were no longer be required to pay PRT.</t>
        </r>
        <r>
          <rPr>
            <sz val="9"/>
            <color indexed="81"/>
            <rFont val="Tahoma"/>
            <family val="2"/>
          </rPr>
          <t xml:space="preserve">
</t>
        </r>
        <r>
          <rPr>
            <sz val="10"/>
            <color indexed="10"/>
            <rFont val="Tahoma"/>
            <family val="2"/>
          </rPr>
          <t xml:space="preserve">From 1 July 2018 the payroll thresholds and rates are as follows:
&lt;$1.25M       = Nil
$1.25M -$2M = 4%
&gt;$2M           = 6.1%
</t>
        </r>
        <r>
          <rPr>
            <i/>
            <sz val="9"/>
            <color indexed="12"/>
            <rFont val="Tahoma"/>
            <family val="2"/>
          </rPr>
          <t>Refer to www.sro.tas.gov.au for further details</t>
        </r>
        <r>
          <rPr>
            <sz val="10"/>
            <color indexed="10"/>
            <rFont val="Tahoma"/>
            <family val="2"/>
          </rPr>
          <t xml:space="preserve">
</t>
        </r>
      </text>
    </comment>
  </commentList>
</comments>
</file>

<file path=xl/sharedStrings.xml><?xml version="1.0" encoding="utf-8"?>
<sst xmlns="http://schemas.openxmlformats.org/spreadsheetml/2006/main" count="304" uniqueCount="245">
  <si>
    <t>TABLE 1</t>
  </si>
  <si>
    <t>Years of Service</t>
  </si>
  <si>
    <t>&gt;10</t>
  </si>
  <si>
    <t>Total</t>
  </si>
  <si>
    <t>Number of Employees</t>
  </si>
  <si>
    <t>TABLE 2</t>
  </si>
  <si>
    <t>Total Wastage</t>
  </si>
  <si>
    <t>Average Wastage</t>
  </si>
  <si>
    <t>Retention Rate</t>
  </si>
  <si>
    <t>Decay Table</t>
  </si>
  <si>
    <t>Probability</t>
  </si>
  <si>
    <t>LONG SERVICE LEAVE LIABILITY CALCULATION</t>
  </si>
  <si>
    <t>Service</t>
  </si>
  <si>
    <t>Number</t>
  </si>
  <si>
    <t>Service Value</t>
  </si>
  <si>
    <t>Inflation</t>
  </si>
  <si>
    <t>Inflated</t>
  </si>
  <si>
    <t>Discount</t>
  </si>
  <si>
    <t>Discounted</t>
  </si>
  <si>
    <t>Calculated</t>
  </si>
  <si>
    <t>Years</t>
  </si>
  <si>
    <t>Employees</t>
  </si>
  <si>
    <t>Value</t>
  </si>
  <si>
    <t>Factor</t>
  </si>
  <si>
    <t>Liability</t>
  </si>
  <si>
    <t>Rate</t>
  </si>
  <si>
    <t>LONG SERVICE LEAVE PROVISION</t>
  </si>
  <si>
    <t>Key</t>
  </si>
  <si>
    <t>Current Year</t>
  </si>
  <si>
    <t>Prior Year</t>
  </si>
  <si>
    <t>Year Before</t>
  </si>
  <si>
    <t>Prior Year Information</t>
  </si>
  <si>
    <t>Rates</t>
  </si>
  <si>
    <t>Employee Entitlements Data Sheet</t>
  </si>
  <si>
    <t>n/a</t>
  </si>
  <si>
    <t>Enter the relevant Wage Inflation Factor.</t>
  </si>
  <si>
    <t>Enter the number of Employees.</t>
  </si>
  <si>
    <t>Year End - C</t>
  </si>
  <si>
    <t>Year End - B</t>
  </si>
  <si>
    <t>Year End - A</t>
  </si>
  <si>
    <t>The employee numbers here help establish the wastage pattern and hence probability of an</t>
  </si>
  <si>
    <t>Enter the Current Discount Rates.</t>
  </si>
  <si>
    <t>Input Current and Historical Information</t>
  </si>
  <si>
    <r>
      <t xml:space="preserve">G16.     Costs that are a consequence of employing employees, but which are </t>
    </r>
    <r>
      <rPr>
        <u/>
        <sz val="10"/>
        <rFont val="Times New Roman"/>
        <family val="1"/>
      </rPr>
      <t>not employee benefits</t>
    </r>
    <r>
      <rPr>
        <sz val="10"/>
        <rFont val="Times New Roman"/>
        <family val="1"/>
      </rPr>
      <t>, such as payroll tax and workers' compensation insurance, are recognised as liabilities and expenses when the employment to which they relate has occurred. For example, where the settlement of employee benefit liabilities, such as long service leave, gives rise to the payment of employment on-costs, such as payroll tax and workers' compensation insurance, a liability is recognised for those on-costs as well as for the employee benefits. In determining whether settlement of employee benefit liabilities will result in the payment of on-costs, an entity should consider whether employee benefits are likely to be extinguished through resignation (or termination), or through the employee taking leave.</t>
    </r>
  </si>
  <si>
    <t>General Notes - Data Entry and Guidance Points to Consider</t>
  </si>
  <si>
    <t>Shaded areas are for the input of the appropriate data each year.</t>
  </si>
  <si>
    <t>(a)     an entity has a present obligation (legal or constructive) as a result of a past event;</t>
  </si>
  <si>
    <t>(b)     it is probable that an outflow of resources embodying economic benefits will be required to settle the obligation; and</t>
  </si>
  <si>
    <t>(c)     a reliable estimate can be made of the amount of the obligation.</t>
  </si>
  <si>
    <t>If these conditions are not met, no provision shall be recognised.</t>
  </si>
  <si>
    <t>On-costs would then fall under the Provisions standard AASB137 which states:</t>
  </si>
  <si>
    <t>Statistically employee probability factors should gently increase on a curve up to 100%.</t>
  </si>
  <si>
    <t>Year</t>
  </si>
  <si>
    <t>Enter the Current Year being calculated.  Other dates are dependent on this and will change accordingly.</t>
  </si>
  <si>
    <t>To determine what is Current and what is Non-current it is necessary to refer to AASB101:</t>
  </si>
  <si>
    <t>Long service leave requirements</t>
  </si>
  <si>
    <t>G4.     Whilst differences exist between the various Acts, Awards and Workplace Agreements specifying long service leave entitlements in Australia, the following entitlement categories are common:</t>
  </si>
  <si>
    <t>(a)     an unconditional legal entitlement to payment arises after a qualifying period of service (usually ten or fifteen years). Accumulation of long service leave entitlement continues after this point, until the leave is taken. This entitlement is termed the "unconditional" entitlement category;</t>
  </si>
  <si>
    <t>(b)     in certain circumstances (for example, death, retrenchment, or early retirement under some Awards), a legal entitlement to pro rata payment in lieu of long service leave arises (sometimes only after a qualifying period of service). This entitlement is termed the "conditional" entitlement category; and</t>
  </si>
  <si>
    <t>(c)     no legal entitlement to any payment or leave exists before the accumulation of the period of service necessary to qualify for the entitlement described in (a) or (b) above. This entitlement is termed the "pre-conditional" entitlement category.</t>
  </si>
  <si>
    <t>     At any point in time, an employer could have employees in more than one of the above categories.</t>
  </si>
  <si>
    <t>G5.     To the extent that it is probable that long service leave entitlements accumulated by employees in the unconditional, conditional and pre-conditional entitlement categories during the reporting period will result in cash outflows by an employer in future reporting periods, they satisfy the criteria for recognition of a liability. The employer has consumed employees' services during the period and the entitlement accumulates with the provision of employees' services.</t>
  </si>
  <si>
    <t>What is Unconditional, Conditional and Pre-conditional?</t>
  </si>
  <si>
    <t>Disclaimer</t>
  </si>
  <si>
    <t>Annual Leave is therefore "current" where the entity does not have an unconditional right to defer settlement of the liability for at least</t>
  </si>
  <si>
    <t xml:space="preserve">Unconditional Long Service Leave (LSL) would be current where the entity does not have an unconditional right to defer settlement of </t>
  </si>
  <si>
    <t xml:space="preserve">as leave accrues.  Under a limited few however, (eg some Councils) employees accrue their unconditional leave in discrete "blocks" of </t>
  </si>
  <si>
    <t>In the many Tasmanian Awards an employee would be pre-conditional up to the qualifying period and then unconditional from then on,</t>
  </si>
  <si>
    <t xml:space="preserve">the qualifying period.  An employee with 15 years LSL may be in the situation whereby the first 10 years unconditional has been  </t>
  </si>
  <si>
    <t>documents.</t>
  </si>
  <si>
    <t xml:space="preserve">years accrued to-date would be pre-conditional and require separate calculation based on the probability of the employee making their </t>
  </si>
  <si>
    <t>achieved, however they may not be eligible for the remaining 5 years until they have reached 20 years of service.  In such cases the 5</t>
  </si>
  <si>
    <t xml:space="preserve">the liability for at least 12 months after reporting date.  Unconditional LSL due within 12 months would be at its nominal value whilst </t>
  </si>
  <si>
    <t xml:space="preserve">Conditional LSL due after 12 months is classified as "Non-current" at its present value.  (Conditional LSL due within 12 months would </t>
  </si>
  <si>
    <t>Values in these cells are from the Data Sheet.</t>
  </si>
  <si>
    <t xml:space="preserve">with such situations.  Decisions made may require documentation with relevant approval and disclosure of such determinations in policy </t>
  </si>
  <si>
    <t>obligation for those yet to attain the required duration.  For employees under many awards this would require reaching a nominated</t>
  </si>
  <si>
    <t>period of service (eg. 10 or 15 years), before qualifying for an unconditional leave entitlement.  Employees yet to reach the required</t>
  </si>
  <si>
    <r>
      <t>Workers Compensation</t>
    </r>
    <r>
      <rPr>
        <sz val="10"/>
        <rFont val="Times New Roman"/>
        <family val="1"/>
      </rPr>
      <t xml:space="preserve"> outflows are more of a constructive obligation that can be estimated based on the leave history.</t>
    </r>
  </si>
  <si>
    <t>TABLE 3</t>
  </si>
  <si>
    <t>Example for Years 4 to 6</t>
  </si>
  <si>
    <t>employee making their qualifying period.  For each specific year in the "Years of Service",</t>
  </si>
  <si>
    <t>to the right, it is not possible for there to be 5 employees with 5 years of service (Year B)</t>
  </si>
  <si>
    <t>there must be an equal number of employees or less than the year before.  Using the example</t>
  </si>
  <si>
    <t>and then in the following year (Year C), 7 employees with 6 years of service.  Errors</t>
  </si>
  <si>
    <t>noted will be highlighted and require investigation of employee history files to resolve.</t>
  </si>
  <si>
    <t xml:space="preserve">                   Current Year Information</t>
  </si>
  <si>
    <t>Non-salary components</t>
  </si>
  <si>
    <r>
      <t xml:space="preserve">Pay-Roll Tax Rate  </t>
    </r>
    <r>
      <rPr>
        <b/>
        <sz val="8"/>
        <color indexed="10"/>
        <rFont val="Times New Roman"/>
        <family val="1"/>
      </rPr>
      <t>(Review Rate Applicable)</t>
    </r>
  </si>
  <si>
    <t>The addition of non-salary components, such as employer superannuation, can be easily added to the nominal values calculated on an</t>
  </si>
  <si>
    <t>---</t>
  </si>
  <si>
    <t>Probabilities greater than 100% will also become highlighted when this occurs.</t>
  </si>
  <si>
    <t>An example probability at the bottom of TABLE 2</t>
  </si>
  <si>
    <t>Conditional /</t>
  </si>
  <si>
    <t>Unconditional</t>
  </si>
  <si>
    <t>Conditional leave not expected to fall due within 12 months at it's present value.</t>
  </si>
  <si>
    <t>at the amounts expected to be paid when the liabilities are settled.</t>
  </si>
  <si>
    <t>Each entity will be individually unique in determining particular inputs and projections in assessing how to apply the Employee Benefits</t>
  </si>
  <si>
    <t>terms of service are said to be "pre-conditional" (Discussed below).  Prospective rates from balance date should be used.</t>
  </si>
  <si>
    <t>On-costs would therefore be calculated on the estimated employee liability to be settled and disclosed separately from employee</t>
  </si>
  <si>
    <t xml:space="preserve">individual employee basis. </t>
  </si>
  <si>
    <t>The method here based on employee tenure is just one way of substantiating employment probabilities.</t>
  </si>
  <si>
    <t>As with Pay-Roll Tax the expected liability should be calculated on the value of the expected employee benefits to be settled.</t>
  </si>
  <si>
    <t>Entities using alternative methods should document assumptions and procedures taken.</t>
  </si>
  <si>
    <t>"Current vs Non-current" &amp; "Conditional vs Unconditional"</t>
  </si>
  <si>
    <t>be at its nominal value).</t>
  </si>
  <si>
    <t>of the appropriate Act or Award.  An allowance should be made for pending wage increases and other increments where known.</t>
  </si>
  <si>
    <t>For each employee, a calculation should be made based on the total years of service, current rate of remuneration and the provision</t>
  </si>
  <si>
    <t xml:space="preserve">be where an entity holds an Annual Leave liability greater than that normally taken by employees in a leave cycle. </t>
  </si>
  <si>
    <t xml:space="preserve">would be at the present value, but still classified as "current" being unconditional.  An indication where this should be considered would </t>
  </si>
  <si>
    <t>that due after 12 months would be at the present value, but still classified as "current" being unconditional.  An indication where this</t>
  </si>
  <si>
    <t xml:space="preserve">should be considered would be where an entity holds a LSL higher than that which is expected to be settled in the forth coming 12 </t>
  </si>
  <si>
    <t>months.  In this situation an entity should determine its own particular position and pattern of settlement in evaluating the liability to</t>
  </si>
  <si>
    <t>Entitlements that are not expected to be settled within 12 months are discounted back to present value</t>
  </si>
  <si>
    <t>be recognised.  This may require projection over a number of years.</t>
  </si>
  <si>
    <t>Conditional Leave</t>
  </si>
  <si>
    <t>Liquidity approach</t>
  </si>
  <si>
    <r>
      <t xml:space="preserve">G15.     Measuring employee benefit liabilities requires all factors that are expected to affect the ultimate amount payable to be taken into account. For example, when employees will receive leave benefits that are determined by reference to the total remuneration package, rather than the salary component of an employee's remuneration package, the non-salary components (such as employer superannuation contributions) are included in the measurement of the leave liability, to the extent that the non-salary components are not otherwise recognised as a liability. </t>
    </r>
    <r>
      <rPr>
        <u/>
        <sz val="10"/>
        <color indexed="8"/>
        <rFont val="Times New Roman"/>
        <family val="1"/>
      </rPr>
      <t>Superannuation contributions are regarded as employee benefits</t>
    </r>
    <r>
      <rPr>
        <sz val="10"/>
        <color indexed="8"/>
        <rFont val="Times New Roman"/>
        <family val="1"/>
      </rPr>
      <t xml:space="preserve"> in accordance with AASB119, and are not on-costs (as discussed in paragraphs G16–17). To the extent that it is expected that settlement of leave will give rise to the payment of superannuation contributions, superannuation contributions should be accrued as part of the provision for leave.</t>
    </r>
  </si>
  <si>
    <t>Unconditional Leave - Projection</t>
  </si>
  <si>
    <t>Total Leave</t>
  </si>
  <si>
    <t>Conditional</t>
  </si>
  <si>
    <t>benefits.  Employee entitlement classification (Conditional/Unconditional - discussed below) will dictate how the other liability On-costs</t>
  </si>
  <si>
    <t>The following summary also comes from an Australian guidance paragraph in AASB119 (2004).</t>
  </si>
  <si>
    <t>The following summary comes from an Australian guidance paragraph in AASB119 (2004).  Although now removed, it still provides</t>
  </si>
  <si>
    <t>(eg employees holding multiple years of service consuming less than they acquire each year.) (Time value of money AASB137 para 45)</t>
  </si>
  <si>
    <t>useful commentary and guidance on on-costs.</t>
  </si>
  <si>
    <t>next qualifying period. Each entity should review its relevant Act, Awards and Workplace Arrangements, when determining how to deal</t>
  </si>
  <si>
    <t xml:space="preserve">12 months after the reporting date.  Annual Leave due within 12 months would be at its nominal value, whilst that due after 12 months </t>
  </si>
  <si>
    <t>Where statements are prepared under a liquidity approach notes, should disclose the amount expected to be settled within twelve months</t>
  </si>
  <si>
    <t>(Probabilities should increase progressively to 100%)</t>
  </si>
  <si>
    <t>In this situation an entity should determine its own particular position and pattern of settlement in evaluating the liability to be recognised.  This may require projection over a number of years.</t>
  </si>
  <si>
    <t>Unconditional Leave</t>
  </si>
  <si>
    <r>
      <t xml:space="preserve">These notes should be considered as a </t>
    </r>
    <r>
      <rPr>
        <i/>
        <u/>
        <sz val="10"/>
        <color indexed="10"/>
        <rFont val="Times New Roman"/>
        <family val="1"/>
      </rPr>
      <t>guide only</t>
    </r>
    <r>
      <rPr>
        <i/>
        <sz val="10"/>
        <color indexed="10"/>
        <rFont val="Times New Roman"/>
        <family val="1"/>
      </rPr>
      <t xml:space="preserve"> in the preparation of financial reporting.</t>
    </r>
  </si>
  <si>
    <t>Where an entity holds an unconditional service value balance greater than can possibly be extinguished in the forthcoming year, then consideration should be given to discounting to what would be expected to be settled.</t>
  </si>
  <si>
    <t>In the example below the entity has a history of extinguishing $30,000pa.  The total unconditional service value for years 10 and &gt;10 are allocated as follows:</t>
  </si>
  <si>
    <t>A</t>
  </si>
  <si>
    <t>B</t>
  </si>
  <si>
    <t>C</t>
  </si>
  <si>
    <t>D</t>
  </si>
  <si>
    <t>E</t>
  </si>
  <si>
    <t xml:space="preserve">The graph below automatically summarises employee information. </t>
  </si>
  <si>
    <t>RBA</t>
  </si>
  <si>
    <t>You may need to format the "Number of Employees" Axis to suit your Max Emp' No's.</t>
  </si>
  <si>
    <t>Max =</t>
  </si>
  <si>
    <t>69 An entity shall classify a liability as current when:</t>
  </si>
  <si>
    <t>(b)     it holds the liability primarily for the purpose of trading;</t>
  </si>
  <si>
    <r>
      <t xml:space="preserve">(c)     the liability is due to be </t>
    </r>
    <r>
      <rPr>
        <u/>
        <sz val="10"/>
        <color indexed="8"/>
        <rFont val="Times New Roman"/>
        <family val="1"/>
      </rPr>
      <t>settled within twelve months</t>
    </r>
    <r>
      <rPr>
        <sz val="10"/>
        <color indexed="8"/>
        <rFont val="Times New Roman"/>
        <family val="1"/>
      </rPr>
      <t xml:space="preserve"> after the reporting period; or</t>
    </r>
  </si>
  <si>
    <r>
      <t xml:space="preserve">(d)     it </t>
    </r>
    <r>
      <rPr>
        <u/>
        <sz val="10"/>
        <color indexed="8"/>
        <rFont val="Times New Roman"/>
        <family val="1"/>
      </rPr>
      <t>does not have an unconditional right to defer settlement</t>
    </r>
    <r>
      <rPr>
        <sz val="10"/>
        <color indexed="8"/>
        <rFont val="Times New Roman"/>
        <family val="1"/>
      </rPr>
      <t xml:space="preserve"> of the liability </t>
    </r>
    <r>
      <rPr>
        <u/>
        <sz val="10"/>
        <color indexed="8"/>
        <rFont val="Times New Roman"/>
        <family val="1"/>
      </rPr>
      <t>for at least twelve months</t>
    </r>
    <r>
      <rPr>
        <sz val="10"/>
        <color indexed="8"/>
        <rFont val="Times New Roman"/>
        <family val="1"/>
      </rPr>
      <t xml:space="preserve"> after the </t>
    </r>
  </si>
  <si>
    <t xml:space="preserve">  reporting period.....</t>
  </si>
  <si>
    <t>An entity shall classify all other liabilities as non-current.</t>
  </si>
  <si>
    <t xml:space="preserve">using appropriate national securities rates.  </t>
  </si>
  <si>
    <t>Employee History Profile</t>
  </si>
  <si>
    <t>31 May</t>
  </si>
  <si>
    <t>Discount Rate Profile</t>
  </si>
  <si>
    <t>Current or Non-current) will need to be classified irrespective on when settled.</t>
  </si>
  <si>
    <t>Disclosure as a Current Liability remains unchanged as AL is unconditional.</t>
  </si>
  <si>
    <t xml:space="preserve">Similar to the treatment of Unconditional LSL in this template, entities should review their AL settlement projections and </t>
  </si>
  <si>
    <t>From 1 Oct 2012 Departments were no longer be required to pay Payroll Tax.</t>
  </si>
  <si>
    <t>Current year updated</t>
  </si>
  <si>
    <r>
      <t xml:space="preserve">Key - </t>
    </r>
    <r>
      <rPr>
        <i/>
        <u/>
        <sz val="10"/>
        <rFont val="Times New Roman"/>
        <family val="1"/>
      </rPr>
      <t>Discount Rate Data</t>
    </r>
  </si>
  <si>
    <t>and that to be settled after twelve months. (AASB101 para 60 &amp; 61)</t>
  </si>
  <si>
    <r>
      <t xml:space="preserve">Departments which use a liquidity approach should continue to present AL as it is </t>
    </r>
    <r>
      <rPr>
        <u/>
        <sz val="10"/>
        <rFont val="Times New Roman"/>
        <family val="1"/>
      </rPr>
      <t>expected to be settled</t>
    </r>
    <r>
      <rPr>
        <sz val="10"/>
        <rFont val="Times New Roman"/>
        <family val="1"/>
      </rPr>
      <t xml:space="preserve"> inline with DOTAF's model statement presentation.  (i.e AL should be calculated and measured at the amount </t>
    </r>
    <r>
      <rPr>
        <u/>
        <sz val="10"/>
        <rFont val="Times New Roman"/>
        <family val="1"/>
      </rPr>
      <t>expected to be settled</t>
    </r>
    <r>
      <rPr>
        <sz val="10"/>
        <rFont val="Times New Roman"/>
        <family val="1"/>
      </rPr>
      <t xml:space="preserve"> within 12 months [nominal value] or </t>
    </r>
    <r>
      <rPr>
        <u/>
        <sz val="10"/>
        <rFont val="Times New Roman"/>
        <family val="1"/>
      </rPr>
      <t>expected to be settled</t>
    </r>
    <r>
      <rPr>
        <sz val="10"/>
        <rFont val="Times New Roman"/>
        <family val="1"/>
      </rPr>
      <t xml:space="preserve"> in more than 12 months [present value].)</t>
    </r>
  </si>
  <si>
    <t>Period End Month</t>
  </si>
  <si>
    <t>Other Liabilities</t>
  </si>
  <si>
    <t>Where Pay-Roll Tax (PRT) is applicable, the entities obligation needs to be determine with the amount included in Other Liabilities.</t>
  </si>
  <si>
    <t>The obligation is usually a function of the calculated leave liability.</t>
  </si>
  <si>
    <t>Whilst Unconditional LSL is disclosed as a current liability due to entity not having an unconditional right to defer settlement per AASB101 p69(d),</t>
  </si>
  <si>
    <t>this does not apply to PRT and the normal Current / Non-current classification of the liability is as the entity expects the liability to be settled. (AASB 101 p69(a)).</t>
  </si>
  <si>
    <t>Current Liabilities *</t>
  </si>
  <si>
    <t>Total PRT payable</t>
  </si>
  <si>
    <t>Non-current Liabilities</t>
  </si>
  <si>
    <t>The same principle applies to any on-cost provided for in relation to Workers Compensation .</t>
  </si>
  <si>
    <t>When calculating Other Liabilities, be aware that from 1 July 2013 the Payroll Tax threshold increased to $1.25m.</t>
  </si>
  <si>
    <t>The same approach can be applied to on-costs applicable to other forms of entitlements such as annual leave.</t>
  </si>
  <si>
    <r>
      <t xml:space="preserve">Pay-Roll Tax </t>
    </r>
    <r>
      <rPr>
        <sz val="10"/>
        <rFont val="Times New Roman"/>
        <family val="1"/>
      </rPr>
      <t xml:space="preserve">is a legal obligation under the </t>
    </r>
    <r>
      <rPr>
        <i/>
        <sz val="10"/>
        <rFont val="Times New Roman"/>
        <family val="1"/>
      </rPr>
      <t xml:space="preserve">Pay-Roll Tax Act 1971 </t>
    </r>
    <r>
      <rPr>
        <sz val="10"/>
        <rFont val="Times New Roman"/>
        <family val="1"/>
      </rPr>
      <t xml:space="preserve">for those who have qualified for leave and a constructive </t>
    </r>
  </si>
  <si>
    <r>
      <t>On-costs</t>
    </r>
    <r>
      <rPr>
        <b/>
        <u/>
        <sz val="8"/>
        <color indexed="8"/>
        <rFont val="Times New Roman"/>
        <family val="1"/>
      </rPr>
      <t xml:space="preserve"> </t>
    </r>
    <r>
      <rPr>
        <u/>
        <sz val="8"/>
        <color indexed="8"/>
        <rFont val="Times New Roman"/>
        <family val="1"/>
      </rPr>
      <t>(also see page 2 of the "LSL Provision" sheet)</t>
    </r>
  </si>
  <si>
    <t>3,6 &amp; 7</t>
  </si>
  <si>
    <t>Awaiting Information</t>
  </si>
  <si>
    <t>(Calculation columns G&amp;H are hidden)</t>
  </si>
  <si>
    <t>Weighted Average Discount Rate</t>
  </si>
  <si>
    <t>Totals</t>
  </si>
  <si>
    <r>
      <t>G17.     </t>
    </r>
    <r>
      <rPr>
        <u/>
        <sz val="10"/>
        <rFont val="Times New Roman"/>
        <family val="1"/>
      </rPr>
      <t>On-costs are not employee benefits</t>
    </r>
    <r>
      <rPr>
        <sz val="10"/>
        <rFont val="Times New Roman"/>
        <family val="1"/>
      </rPr>
      <t>. Accordingly on-costs should not be included as part of the entity's "employee benefits expense". Although AASB 119 does not specifically address employee on-costs, an entity should consider their separate disclosure to assist users in calculating the total employee expense.</t>
    </r>
  </si>
  <si>
    <t>Documentary evidence should be prepared as evidence to support estimates applied.</t>
  </si>
  <si>
    <r>
      <t xml:space="preserve">This Work Paper is for Not-For-Profit Public Sector Entities </t>
    </r>
    <r>
      <rPr>
        <u/>
        <sz val="20"/>
        <color indexed="10"/>
        <rFont val="Times New Roman"/>
        <family val="1"/>
      </rPr>
      <t>ONLY!</t>
    </r>
  </si>
  <si>
    <t>Explanation for Current/Non-current Liability allocation………...……………..</t>
  </si>
  <si>
    <r>
      <t xml:space="preserve">The Superannuation Guarantee Levy (SGL) schedule has been updated in accordance to the </t>
    </r>
    <r>
      <rPr>
        <i/>
        <sz val="10"/>
        <rFont val="Times New Roman"/>
        <family val="1"/>
      </rPr>
      <t xml:space="preserve">Minerals Resource Rent Tax Repeal and Other Measures Act 2014 </t>
    </r>
    <r>
      <rPr>
        <sz val="10"/>
        <rFont val="Times New Roman"/>
        <family val="1"/>
      </rPr>
      <t xml:space="preserve">(the Act) passed in September 2014. Based on the Act, the future SGL rates will remain at 9.5 per cent for seven years, before making yearly increments of 0.5 per cent from 2021 to 2025. </t>
    </r>
  </si>
  <si>
    <t>Wage Inflation Factor</t>
  </si>
  <si>
    <t>30-June-</t>
  </si>
  <si>
    <r>
      <t xml:space="preserve">For profit and not-for-profit private sectors need to consider market yields on high quality corporate bonds in accordance with Para83.  The G100 engaged actuaries Milliman Australia to research the Australian market and have announced </t>
    </r>
    <r>
      <rPr>
        <u/>
        <sz val="11"/>
        <color indexed="10"/>
        <rFont val="Times New Roman"/>
        <family val="1"/>
      </rPr>
      <t>"that there is a sufficiently observable, deep and liquid market in high quality Australian corporate bonds to satisfy the accounting requirements."</t>
    </r>
    <r>
      <rPr>
        <sz val="11"/>
        <color indexed="10"/>
        <rFont val="Times New Roman"/>
        <family val="1"/>
      </rPr>
      <t xml:space="preserve"> </t>
    </r>
  </si>
  <si>
    <r>
      <t>(</t>
    </r>
    <r>
      <rPr>
        <sz val="8"/>
        <color indexed="10"/>
        <rFont val="Times New Roman"/>
        <family val="1"/>
      </rPr>
      <t>Calc' for policy disclosures)</t>
    </r>
  </si>
  <si>
    <t>2018-19</t>
  </si>
  <si>
    <t>(a)     it expects to settle the liability in its normal operating cycle;</t>
  </si>
  <si>
    <r>
      <t xml:space="preserve">14.     A </t>
    </r>
    <r>
      <rPr>
        <b/>
        <i/>
        <sz val="10"/>
        <color indexed="8"/>
        <rFont val="Times New Roman"/>
        <family val="1"/>
      </rPr>
      <t>provision</t>
    </r>
    <r>
      <rPr>
        <b/>
        <sz val="10"/>
        <color indexed="8"/>
        <rFont val="Times New Roman"/>
        <family val="1"/>
      </rPr>
      <t xml:space="preserve"> shall be recognised when:</t>
    </r>
  </si>
  <si>
    <t>The projected allocation of unconditional leave was determined by…</t>
  </si>
  <si>
    <t>Input or explaination required</t>
  </si>
  <si>
    <t>the error can be rectified by adding 2 to Years B and C as if the employees were always present.</t>
  </si>
  <si>
    <t>Watch out for negatives here!</t>
  </si>
  <si>
    <t>All errors must be rectified for probability caluculations to work correctly.</t>
  </si>
  <si>
    <t>Remember to document all such adjustements.  Who, why, which years…etc…</t>
  </si>
  <si>
    <t>(See Guidance here)</t>
  </si>
  <si>
    <t xml:space="preserve">For example, if this was for employees transferring between departments then entitlements go with them, </t>
  </si>
  <si>
    <r>
      <t>AASB119 Aus83.1 - Allows for: "...</t>
    </r>
    <r>
      <rPr>
        <b/>
        <sz val="11"/>
        <color indexed="30"/>
        <rFont val="Times New Roman"/>
        <family val="1"/>
      </rPr>
      <t>not-for-profit public sector entities</t>
    </r>
    <r>
      <rPr>
        <sz val="11"/>
        <color indexed="30"/>
        <rFont val="Times New Roman"/>
        <family val="1"/>
      </rPr>
      <t>, post employment benefit obligations denominated in Australian currency</t>
    </r>
    <r>
      <rPr>
        <b/>
        <sz val="11"/>
        <color indexed="30"/>
        <rFont val="Times New Roman"/>
        <family val="1"/>
      </rPr>
      <t xml:space="preserve"> </t>
    </r>
    <r>
      <rPr>
        <b/>
        <u/>
        <sz val="11"/>
        <color indexed="30"/>
        <rFont val="Times New Roman"/>
        <family val="1"/>
      </rPr>
      <t>shall be discounted using market yields on government bonds</t>
    </r>
    <r>
      <rPr>
        <u/>
        <sz val="11"/>
        <color indexed="30"/>
        <rFont val="Times New Roman"/>
        <family val="1"/>
      </rPr>
      <t>.</t>
    </r>
    <r>
      <rPr>
        <sz val="11"/>
        <color indexed="30"/>
        <rFont val="Times New Roman"/>
        <family val="1"/>
      </rPr>
      <t>"</t>
    </r>
  </si>
  <si>
    <t>AASB 119 Employee Benefits</t>
  </si>
  <si>
    <t>The standard includes a definition of short-term employment benefits clarifying treatment.</t>
  </si>
  <si>
    <t>The following summary comes from an Australian guidance paragraph in AASB119 (2004).</t>
  </si>
  <si>
    <t xml:space="preserve"> Although now removed, it still providesuseful commentary and guidance.</t>
  </si>
  <si>
    <t>* Example amount is based on Ave last 5yrs of PRT on LSL expense</t>
  </si>
  <si>
    <t>The workbook then automatically calculates from this information.</t>
  </si>
  <si>
    <t>This has implications in the calculation of Annual Leave (AL) liabilities.  The measurement of AL amounts not expected to be consumed within the next 12 months should consider the effects of discounting.  (i.e. present value)</t>
  </si>
  <si>
    <t xml:space="preserve">where warranted, discount the AL expected service values accordingly. </t>
  </si>
  <si>
    <t>(Further guidance can be found below.)</t>
  </si>
  <si>
    <r>
      <t xml:space="preserve">(N.B. Payroll Tax is </t>
    </r>
    <r>
      <rPr>
        <b/>
        <u/>
        <sz val="10"/>
        <color indexed="12"/>
        <rFont val="Times New Roman"/>
        <family val="1"/>
      </rPr>
      <t>not</t>
    </r>
    <r>
      <rPr>
        <u/>
        <sz val="10"/>
        <color indexed="12"/>
        <rFont val="Times New Roman"/>
        <family val="1"/>
      </rPr>
      <t xml:space="preserve"> an employee benefit, see On-costs guidance below)</t>
    </r>
  </si>
  <si>
    <t xml:space="preserve">Standard AASB 119.  Standards also change, as is noted in some of the comments that follow.  To substantiate decisions, individual </t>
  </si>
  <si>
    <t>assumptions and determinations, will need to be documented as part of this process.</t>
  </si>
  <si>
    <t>Refer to the State Revenue Office (SRO) for current thresholds and rates.</t>
  </si>
  <si>
    <t>1 year</t>
  </si>
  <si>
    <t>2 years</t>
  </si>
  <si>
    <t>3 years</t>
  </si>
  <si>
    <t>4 years</t>
  </si>
  <si>
    <t>5 years</t>
  </si>
  <si>
    <t>6 years</t>
  </si>
  <si>
    <t>7 years</t>
  </si>
  <si>
    <t>8 years</t>
  </si>
  <si>
    <t>9 years</t>
  </si>
  <si>
    <t>10 years</t>
  </si>
  <si>
    <t>11 years</t>
  </si>
  <si>
    <t>12 years</t>
  </si>
  <si>
    <t>13 years</t>
  </si>
  <si>
    <t>14 years</t>
  </si>
  <si>
    <t>15 years</t>
  </si>
  <si>
    <t>Rates for 15yr Lsl Cycle</t>
  </si>
  <si>
    <t>Unconditional Service Value at nominal value to be reviewed and assessed</t>
  </si>
  <si>
    <t>30 June</t>
  </si>
  <si>
    <t>(Explain reasoning for allocation amount. What is it based on? Past history? How much was actually paid last year? Average? Projected leave?)</t>
  </si>
  <si>
    <r>
      <t xml:space="preserve">Wastage figures should never be negative!
</t>
    </r>
    <r>
      <rPr>
        <sz val="7"/>
        <color indexed="10"/>
        <rFont val="Times New Roman"/>
        <family val="1"/>
      </rPr>
      <t>Departures are positive. You can't have more people in a following year.</t>
    </r>
  </si>
  <si>
    <t>Yieldbroker</t>
  </si>
  <si>
    <t>The Month link can also be changed for using rates at a different date (e.g. "31-May-" or "31-Dec-").</t>
  </si>
  <si>
    <t>The factor entered here should relate to your entity and likely increase.</t>
  </si>
  <si>
    <t>Consider your own situation and forecasts. (e.g. check your Enterprise Bargaining Agreement.)</t>
  </si>
  <si>
    <t>Remember - On Costs are not Employee Benefits they are Other Liabilities, PRT or workers compensation costs are not paid to employees.</t>
  </si>
  <si>
    <t xml:space="preserve">Discount rates are available from the G100 website (www.group100.com.au) for a fee.  
</t>
  </si>
  <si>
    <t>30 April</t>
  </si>
  <si>
    <r>
      <t xml:space="preserve">As a result </t>
    </r>
    <r>
      <rPr>
        <b/>
        <u/>
        <sz val="10"/>
        <color indexed="10"/>
        <rFont val="Times New Roman"/>
        <family val="1"/>
      </rPr>
      <t>calculations will need to be adjusted for the benefit expected to be paid from 1 July 2024 to increase by 11.5%.</t>
    </r>
  </si>
  <si>
    <t>Tradeweb</t>
  </si>
  <si>
    <t>31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</si>
</sst>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00_);_(* \(#,##0.000\);_(* &quot;-&quot;??_);_(@_)"/>
    <numFmt numFmtId="167" formatCode="_(* #,##0.0000_);_(* \(#,##0.0000\);_(* &quot;-&quot;??_);_(@_)"/>
    <numFmt numFmtId="168" formatCode="0.0000"/>
    <numFmt numFmtId="169" formatCode="_(* #,##0_);_(* \(#,##0\);_(* &quot;-&quot;??_);_(@_)"/>
    <numFmt numFmtId="170" formatCode="_(&quot;$&quot;* #,##0_);_(&quot;$&quot;* \(#,##0\);_(&quot;$&quot;* &quot;-&quot;??_);_(@_)"/>
    <numFmt numFmtId="171" formatCode="0.000%"/>
    <numFmt numFmtId="172" formatCode="0.000"/>
    <numFmt numFmtId="173" formatCode="d\-mmm\-yyyy"/>
  </numFmts>
  <fonts count="66" x14ac:knownFonts="1">
    <font>
      <sz val="10"/>
      <name val="Times New Roman"/>
    </font>
    <font>
      <b/>
      <sz val="10"/>
      <name val="Times New Roman"/>
      <family val="1"/>
    </font>
    <font>
      <sz val="10"/>
      <name val="Times New Roman"/>
      <family val="1"/>
    </font>
    <font>
      <b/>
      <sz val="8"/>
      <name val="Times New Roman"/>
      <family val="1"/>
    </font>
    <font>
      <sz val="8"/>
      <name val="Times New Roman"/>
      <family val="1"/>
    </font>
    <font>
      <sz val="7"/>
      <name val="Times New Roman"/>
      <family val="1"/>
    </font>
    <font>
      <b/>
      <sz val="12"/>
      <name val="Times New Roman"/>
      <family val="1"/>
    </font>
    <font>
      <b/>
      <sz val="8"/>
      <color indexed="10"/>
      <name val="Times New Roman"/>
      <family val="1"/>
    </font>
    <font>
      <u/>
      <sz val="8"/>
      <name val="Times New Roman"/>
      <family val="1"/>
    </font>
    <font>
      <b/>
      <sz val="10"/>
      <name val="Times New Roman"/>
      <family val="1"/>
    </font>
    <font>
      <sz val="7"/>
      <color indexed="10"/>
      <name val="Times New Roman"/>
      <family val="1"/>
    </font>
    <font>
      <b/>
      <sz val="10"/>
      <color indexed="12"/>
      <name val="Times New Roman"/>
      <family val="1"/>
    </font>
    <font>
      <u/>
      <sz val="10"/>
      <name val="Times New Roman"/>
      <family val="1"/>
    </font>
    <font>
      <b/>
      <sz val="14"/>
      <color indexed="12"/>
      <name val="Times New Roman"/>
      <family val="1"/>
    </font>
    <font>
      <sz val="10"/>
      <name val="Times New Roman"/>
      <family val="1"/>
    </font>
    <font>
      <sz val="20"/>
      <color indexed="12"/>
      <name val="Times New Roman"/>
      <family val="1"/>
    </font>
    <font>
      <b/>
      <u/>
      <sz val="10"/>
      <name val="Times New Roman"/>
      <family val="1"/>
    </font>
    <font>
      <b/>
      <sz val="10"/>
      <color indexed="8"/>
      <name val="Times New Roman"/>
      <family val="1"/>
    </font>
    <font>
      <sz val="10"/>
      <color indexed="8"/>
      <name val="Times New Roman"/>
      <family val="1"/>
    </font>
    <font>
      <i/>
      <sz val="10"/>
      <name val="Times New Roman"/>
      <family val="1"/>
    </font>
    <font>
      <b/>
      <u/>
      <sz val="10"/>
      <color indexed="8"/>
      <name val="Times New Roman"/>
      <family val="1"/>
    </font>
    <font>
      <u/>
      <sz val="10"/>
      <color indexed="8"/>
      <name val="Times New Roman"/>
      <family val="1"/>
    </font>
    <font>
      <i/>
      <sz val="10"/>
      <color indexed="10"/>
      <name val="Times New Roman"/>
      <family val="1"/>
    </font>
    <font>
      <i/>
      <u/>
      <sz val="10"/>
      <color indexed="10"/>
      <name val="Times New Roman"/>
      <family val="1"/>
    </font>
    <font>
      <sz val="8"/>
      <color indexed="81"/>
      <name val="Tahoma"/>
      <family val="2"/>
    </font>
    <font>
      <b/>
      <sz val="8"/>
      <color indexed="81"/>
      <name val="Tahoma"/>
      <family val="2"/>
    </font>
    <font>
      <b/>
      <u/>
      <sz val="10"/>
      <color indexed="12"/>
      <name val="Times New Roman"/>
      <family val="1"/>
    </font>
    <font>
      <sz val="10"/>
      <color indexed="10"/>
      <name val="Times New Roman"/>
      <family val="1"/>
    </font>
    <font>
      <sz val="9"/>
      <color indexed="81"/>
      <name val="Tahoma"/>
      <family val="2"/>
    </font>
    <font>
      <b/>
      <sz val="9"/>
      <color indexed="81"/>
      <name val="Tahoma"/>
      <family val="2"/>
    </font>
    <font>
      <i/>
      <u/>
      <sz val="10"/>
      <name val="Times New Roman"/>
      <family val="1"/>
    </font>
    <font>
      <i/>
      <sz val="8"/>
      <name val="Times New Roman"/>
      <family val="1"/>
    </font>
    <font>
      <b/>
      <sz val="9"/>
      <name val="Times New Roman"/>
      <family val="1"/>
    </font>
    <font>
      <b/>
      <u/>
      <sz val="8"/>
      <color indexed="8"/>
      <name val="Times New Roman"/>
      <family val="1"/>
    </font>
    <font>
      <u/>
      <sz val="8"/>
      <color indexed="8"/>
      <name val="Times New Roman"/>
      <family val="1"/>
    </font>
    <font>
      <sz val="8"/>
      <color indexed="10"/>
      <name val="Times New Roman"/>
      <family val="1"/>
    </font>
    <font>
      <sz val="11"/>
      <color indexed="10"/>
      <name val="Times New Roman"/>
      <family val="1"/>
    </font>
    <font>
      <u/>
      <sz val="20"/>
      <color indexed="10"/>
      <name val="Times New Roman"/>
      <family val="1"/>
    </font>
    <font>
      <u/>
      <sz val="11"/>
      <color indexed="10"/>
      <name val="Times New Roman"/>
      <family val="1"/>
    </font>
    <font>
      <sz val="11"/>
      <color indexed="30"/>
      <name val="Times New Roman"/>
      <family val="1"/>
    </font>
    <font>
      <b/>
      <sz val="11"/>
      <color indexed="30"/>
      <name val="Times New Roman"/>
      <family val="1"/>
    </font>
    <font>
      <b/>
      <i/>
      <sz val="10"/>
      <color indexed="8"/>
      <name val="Times New Roman"/>
      <family val="1"/>
    </font>
    <font>
      <b/>
      <u/>
      <sz val="11"/>
      <color indexed="30"/>
      <name val="Times New Roman"/>
      <family val="1"/>
    </font>
    <font>
      <u/>
      <sz val="11"/>
      <color indexed="30"/>
      <name val="Times New Roman"/>
      <family val="1"/>
    </font>
    <font>
      <sz val="10"/>
      <color indexed="10"/>
      <name val="Tahoma"/>
      <family val="2"/>
    </font>
    <font>
      <i/>
      <sz val="9"/>
      <color indexed="12"/>
      <name val="Tahoma"/>
      <family val="2"/>
    </font>
    <font>
      <u/>
      <sz val="10"/>
      <color indexed="12"/>
      <name val="Times New Roman"/>
      <family val="1"/>
    </font>
    <font>
      <strike/>
      <sz val="10"/>
      <name val="Times New Roman"/>
      <family val="1"/>
    </font>
    <font>
      <b/>
      <u/>
      <sz val="10"/>
      <color indexed="10"/>
      <name val="Times New Roman"/>
      <family val="1"/>
    </font>
    <font>
      <sz val="10"/>
      <name val="Arial"/>
      <family val="2"/>
    </font>
    <font>
      <b/>
      <sz val="7"/>
      <color indexed="10"/>
      <name val="Times New Roman"/>
      <family val="1"/>
    </font>
    <font>
      <u/>
      <sz val="10"/>
      <color theme="10"/>
      <name val="Times New Roman"/>
      <family val="1"/>
    </font>
    <font>
      <sz val="10"/>
      <color rgb="FF0070C0"/>
      <name val="Times New Roman"/>
      <family val="1"/>
    </font>
    <font>
      <b/>
      <sz val="10"/>
      <color rgb="FFFF0000"/>
      <name val="Times New Roman"/>
      <family val="1"/>
    </font>
    <font>
      <sz val="8"/>
      <color rgb="FFFF0000"/>
      <name val="Times New Roman"/>
      <family val="1"/>
    </font>
    <font>
      <sz val="11"/>
      <color rgb="FFFF0000"/>
      <name val="Times New Roman"/>
      <family val="1"/>
    </font>
    <font>
      <sz val="10"/>
      <color rgb="FF000000"/>
      <name val="Times New Roman"/>
      <family val="1"/>
    </font>
    <font>
      <i/>
      <sz val="10"/>
      <color rgb="FFFF0000"/>
      <name val="Times New Roman"/>
      <family val="1"/>
    </font>
    <font>
      <u/>
      <sz val="7"/>
      <color theme="10"/>
      <name val="Times New Roman"/>
      <family val="1"/>
    </font>
    <font>
      <strike/>
      <sz val="10"/>
      <color rgb="FF000000"/>
      <name val="Times New Roman"/>
      <family val="1"/>
    </font>
    <font>
      <sz val="12"/>
      <color rgb="FF2962FF"/>
      <name val="Arial"/>
      <family val="2"/>
    </font>
    <font>
      <sz val="8.5"/>
      <color rgb="FF000000"/>
      <name val="Arial"/>
      <family val="2"/>
    </font>
    <font>
      <sz val="11"/>
      <color rgb="FF0070C0"/>
      <name val="Times New Roman"/>
      <family val="1"/>
    </font>
    <font>
      <sz val="20"/>
      <color rgb="FFFF0000"/>
      <name val="Times New Roman"/>
      <family val="1"/>
    </font>
    <font>
      <i/>
      <sz val="8"/>
      <color rgb="FFFF0000"/>
      <name val="Times New Roman"/>
      <family val="1"/>
    </font>
    <font>
      <b/>
      <sz val="7"/>
      <color rgb="FFFF0000"/>
      <name val="Times New Roman"/>
      <family val="1"/>
    </font>
  </fonts>
  <fills count="1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18"/>
        <bgColor indexed="64"/>
      </patternFill>
    </fill>
    <fill>
      <patternFill patternType="solid">
        <fgColor indexed="14"/>
        <bgColor indexed="64"/>
      </patternFill>
    </fill>
    <fill>
      <patternFill patternType="solid">
        <fgColor indexed="1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8" tint="0.79998168889431442"/>
        <bgColor indexed="64"/>
      </patternFill>
    </fill>
    <fill>
      <patternFill patternType="solid">
        <fgColor rgb="FF00B05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E3EBF4"/>
        <bgColor indexed="64"/>
      </patternFill>
    </fill>
  </fills>
  <borders count="42">
    <border>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right style="double">
        <color rgb="FFFF0000"/>
      </right>
      <top/>
      <bottom/>
      <diagonal/>
    </border>
    <border>
      <left style="double">
        <color rgb="FFFF0000"/>
      </left>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6">
    <xf numFmtId="0" fontId="0" fillId="0" borderId="0"/>
    <xf numFmtId="165" fontId="2" fillId="0" borderId="0" applyFont="0" applyFill="0" applyBorder="0" applyAlignment="0" applyProtection="0"/>
    <xf numFmtId="164" fontId="2" fillId="0" borderId="0" applyFont="0" applyFill="0" applyBorder="0" applyAlignment="0" applyProtection="0"/>
    <xf numFmtId="0" fontId="51" fillId="0" borderId="0" applyNumberFormat="0" applyFill="0" applyBorder="0" applyAlignment="0" applyProtection="0"/>
    <xf numFmtId="0" fontId="49" fillId="0" borderId="0"/>
    <xf numFmtId="9" fontId="2" fillId="0" borderId="0" applyFont="0" applyFill="0" applyBorder="0" applyAlignment="0" applyProtection="0"/>
  </cellStyleXfs>
  <cellXfs count="315">
    <xf numFmtId="0" fontId="0" fillId="0" borderId="0" xfId="0"/>
    <xf numFmtId="0" fontId="3" fillId="0" borderId="0" xfId="0" applyFont="1"/>
    <xf numFmtId="0" fontId="4" fillId="0" borderId="0" xfId="0" applyFont="1"/>
    <xf numFmtId="165" fontId="4" fillId="0" borderId="0" xfId="1" applyFont="1"/>
    <xf numFmtId="0" fontId="3" fillId="0" borderId="0" xfId="0" applyFont="1" applyAlignment="1"/>
    <xf numFmtId="0" fontId="4" fillId="0" borderId="0" xfId="0" applyFont="1" applyAlignment="1">
      <alignment horizontal="center"/>
    </xf>
    <xf numFmtId="0" fontId="3" fillId="0" borderId="0" xfId="0" applyFont="1" applyAlignment="1">
      <alignment horizontal="center"/>
    </xf>
    <xf numFmtId="37" fontId="3" fillId="0" borderId="0" xfId="1" applyNumberFormat="1" applyFont="1" applyAlignment="1">
      <alignment horizontal="center"/>
    </xf>
    <xf numFmtId="37" fontId="4" fillId="0" borderId="0" xfId="0" applyNumberFormat="1" applyFont="1" applyAlignment="1">
      <alignment horizontal="center"/>
    </xf>
    <xf numFmtId="37" fontId="3" fillId="0" borderId="0" xfId="0" applyNumberFormat="1" applyFont="1"/>
    <xf numFmtId="37" fontId="4" fillId="0" borderId="0" xfId="0" applyNumberFormat="1" applyFont="1"/>
    <xf numFmtId="37" fontId="4" fillId="0" borderId="0" xfId="1" applyNumberFormat="1" applyFont="1"/>
    <xf numFmtId="37" fontId="3" fillId="0" borderId="0" xfId="0" applyNumberFormat="1" applyFont="1" applyAlignment="1"/>
    <xf numFmtId="37" fontId="4" fillId="0" borderId="0" xfId="1" applyNumberFormat="1" applyFont="1" applyAlignment="1">
      <alignment horizontal="center"/>
    </xf>
    <xf numFmtId="37" fontId="4" fillId="0" borderId="1" xfId="0" applyNumberFormat="1" applyFont="1" applyBorder="1"/>
    <xf numFmtId="9" fontId="4" fillId="0" borderId="0" xfId="5" applyFont="1"/>
    <xf numFmtId="165" fontId="4" fillId="0" borderId="0" xfId="0" applyNumberFormat="1" applyFont="1"/>
    <xf numFmtId="0" fontId="5" fillId="0" borderId="0" xfId="0" quotePrefix="1" applyFont="1" applyAlignment="1">
      <alignment horizontal="left"/>
    </xf>
    <xf numFmtId="165" fontId="5" fillId="0" borderId="0" xfId="1" applyFont="1"/>
    <xf numFmtId="166" fontId="5" fillId="0" borderId="0" xfId="1" applyNumberFormat="1" applyFont="1"/>
    <xf numFmtId="14" fontId="5" fillId="0" borderId="0" xfId="0" quotePrefix="1" applyNumberFormat="1" applyFont="1" applyAlignment="1">
      <alignment horizontal="left"/>
    </xf>
    <xf numFmtId="1" fontId="4" fillId="0" borderId="0" xfId="0" applyNumberFormat="1" applyFont="1" applyBorder="1" applyAlignment="1">
      <alignment horizontal="center"/>
    </xf>
    <xf numFmtId="164" fontId="4" fillId="0" borderId="0" xfId="2" applyFont="1" applyBorder="1"/>
    <xf numFmtId="0" fontId="6" fillId="0" borderId="0" xfId="0" quotePrefix="1" applyFont="1" applyAlignment="1">
      <alignment horizontal="left"/>
    </xf>
    <xf numFmtId="0" fontId="8" fillId="0" borderId="0" xfId="0" applyFont="1" applyAlignment="1">
      <alignment horizontal="right"/>
    </xf>
    <xf numFmtId="37" fontId="7" fillId="0" borderId="0" xfId="1" applyNumberFormat="1" applyFont="1"/>
    <xf numFmtId="165" fontId="4" fillId="0" borderId="0" xfId="1" applyFont="1" applyFill="1"/>
    <xf numFmtId="37" fontId="3" fillId="2" borderId="0" xfId="0" applyNumberFormat="1" applyFont="1" applyFill="1"/>
    <xf numFmtId="0" fontId="9" fillId="0" borderId="0" xfId="0" applyFont="1"/>
    <xf numFmtId="37" fontId="10" fillId="0" borderId="0" xfId="0" applyNumberFormat="1" applyFont="1"/>
    <xf numFmtId="37" fontId="4" fillId="2" borderId="0" xfId="1" applyNumberFormat="1" applyFont="1" applyFill="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9" fontId="1" fillId="0" borderId="0" xfId="5" applyFont="1" applyBorder="1" applyAlignment="1">
      <alignment horizontal="center"/>
    </xf>
    <xf numFmtId="0" fontId="0" fillId="0" borderId="3" xfId="0" applyBorder="1" applyAlignment="1">
      <alignment horizontal="right"/>
    </xf>
    <xf numFmtId="0" fontId="0" fillId="0" borderId="0" xfId="0" applyBorder="1" applyAlignment="1">
      <alignment horizontal="center"/>
    </xf>
    <xf numFmtId="0" fontId="0" fillId="0" borderId="9" xfId="0" applyBorder="1"/>
    <xf numFmtId="0" fontId="11" fillId="0" borderId="0" xfId="0" applyFont="1"/>
    <xf numFmtId="0" fontId="11" fillId="0" borderId="0" xfId="0" applyFont="1" applyBorder="1" applyAlignment="1">
      <alignment horizontal="center"/>
    </xf>
    <xf numFmtId="37" fontId="4" fillId="2" borderId="10" xfId="1" applyNumberFormat="1" applyFont="1" applyFill="1" applyBorder="1"/>
    <xf numFmtId="37" fontId="7" fillId="0" borderId="0" xfId="1" applyNumberFormat="1" applyFont="1" applyAlignment="1">
      <alignment horizontal="center"/>
    </xf>
    <xf numFmtId="0" fontId="0" fillId="3" borderId="0" xfId="0" applyFill="1"/>
    <xf numFmtId="0" fontId="12" fillId="0" borderId="0" xfId="0" applyFont="1"/>
    <xf numFmtId="0" fontId="13" fillId="0" borderId="0" xfId="0" applyFont="1"/>
    <xf numFmtId="43" fontId="4" fillId="0" borderId="0" xfId="0" applyNumberFormat="1" applyFont="1"/>
    <xf numFmtId="0" fontId="14" fillId="0" borderId="0" xfId="0" applyFont="1"/>
    <xf numFmtId="0" fontId="15" fillId="0" borderId="0" xfId="0" applyFont="1"/>
    <xf numFmtId="166" fontId="0" fillId="2" borderId="11" xfId="1" applyNumberFormat="1" applyFont="1" applyFill="1" applyBorder="1" applyAlignment="1"/>
    <xf numFmtId="166" fontId="0" fillId="2" borderId="12" xfId="1" applyNumberFormat="1" applyFont="1" applyFill="1" applyBorder="1" applyAlignment="1"/>
    <xf numFmtId="166" fontId="0" fillId="2" borderId="13" xfId="1" applyNumberFormat="1" applyFont="1" applyFill="1" applyBorder="1" applyAlignment="1"/>
    <xf numFmtId="0" fontId="0" fillId="2" borderId="14" xfId="0" applyFill="1" applyBorder="1"/>
    <xf numFmtId="0" fontId="11" fillId="0" borderId="8" xfId="0" applyFont="1" applyBorder="1"/>
    <xf numFmtId="9" fontId="1" fillId="0" borderId="0" xfId="5" applyFont="1" applyAlignment="1">
      <alignment horizontal="left"/>
    </xf>
    <xf numFmtId="43" fontId="3" fillId="0" borderId="0" xfId="0" applyNumberFormat="1" applyFont="1" applyAlignment="1">
      <alignment horizontal="center"/>
    </xf>
    <xf numFmtId="0" fontId="16" fillId="0" borderId="0" xfId="0" applyFont="1"/>
    <xf numFmtId="0" fontId="17" fillId="3" borderId="0" xfId="0" applyFont="1" applyFill="1" applyAlignment="1">
      <alignment horizontal="left" indent="4"/>
    </xf>
    <xf numFmtId="0" fontId="14" fillId="3" borderId="0" xfId="0" applyFont="1" applyFill="1"/>
    <xf numFmtId="0" fontId="18" fillId="3" borderId="0" xfId="0" applyFont="1" applyFill="1" applyAlignment="1">
      <alignment horizontal="left" indent="4"/>
    </xf>
    <xf numFmtId="0" fontId="0" fillId="0" borderId="0" xfId="0" applyAlignment="1">
      <alignment vertical="top"/>
    </xf>
    <xf numFmtId="0" fontId="17" fillId="3" borderId="0" xfId="0" applyFont="1" applyFill="1"/>
    <xf numFmtId="0" fontId="0" fillId="3" borderId="0" xfId="0" applyFill="1" applyAlignment="1">
      <alignment vertical="top"/>
    </xf>
    <xf numFmtId="0" fontId="18" fillId="3" borderId="0" xfId="0" applyFont="1" applyFill="1" applyAlignment="1">
      <alignment horizontal="left" vertical="top"/>
    </xf>
    <xf numFmtId="0" fontId="18" fillId="3" borderId="0" xfId="0" applyFont="1" applyFill="1" applyAlignment="1"/>
    <xf numFmtId="165" fontId="5" fillId="2" borderId="0" xfId="1" applyFont="1" applyFill="1"/>
    <xf numFmtId="14" fontId="5" fillId="2" borderId="0" xfId="1" applyNumberFormat="1" applyFont="1" applyFill="1"/>
    <xf numFmtId="14" fontId="4" fillId="2" borderId="0" xfId="0" applyNumberFormat="1" applyFont="1" applyFill="1"/>
    <xf numFmtId="0" fontId="4" fillId="0" borderId="0" xfId="0" applyFont="1" applyAlignment="1">
      <alignment horizontal="right"/>
    </xf>
    <xf numFmtId="9" fontId="3" fillId="0" borderId="0" xfId="0" applyNumberFormat="1" applyFont="1" applyAlignment="1">
      <alignment horizontal="left"/>
    </xf>
    <xf numFmtId="43" fontId="4" fillId="0" borderId="0" xfId="0" applyNumberFormat="1" applyFont="1" applyAlignment="1">
      <alignment horizontal="left"/>
    </xf>
    <xf numFmtId="0" fontId="4" fillId="0" borderId="0" xfId="0" applyFont="1" applyAlignment="1">
      <alignment horizontal="left"/>
    </xf>
    <xf numFmtId="0" fontId="3" fillId="0" borderId="15" xfId="0" applyFont="1" applyBorder="1" applyAlignment="1"/>
    <xf numFmtId="0" fontId="4" fillId="0" borderId="15" xfId="0" applyFont="1" applyBorder="1" applyAlignment="1">
      <alignment horizontal="center"/>
    </xf>
    <xf numFmtId="0" fontId="3" fillId="0" borderId="15" xfId="0" applyFont="1" applyBorder="1" applyAlignment="1">
      <alignment horizontal="center"/>
    </xf>
    <xf numFmtId="37" fontId="3" fillId="0" borderId="15" xfId="0" applyNumberFormat="1" applyFont="1" applyBorder="1" applyAlignment="1">
      <alignment horizontal="center"/>
    </xf>
    <xf numFmtId="0" fontId="3" fillId="0" borderId="16" xfId="0" applyFont="1" applyBorder="1"/>
    <xf numFmtId="0" fontId="4" fillId="0" borderId="16" xfId="0" applyFont="1" applyBorder="1"/>
    <xf numFmtId="0" fontId="3" fillId="0" borderId="16" xfId="0" applyFont="1" applyBorder="1" applyAlignment="1">
      <alignment horizontal="center"/>
    </xf>
    <xf numFmtId="37" fontId="3" fillId="2" borderId="16" xfId="0" applyNumberFormat="1" applyFont="1" applyFill="1" applyBorder="1"/>
    <xf numFmtId="37" fontId="4" fillId="2" borderId="16" xfId="0" applyNumberFormat="1" applyFont="1" applyFill="1" applyBorder="1"/>
    <xf numFmtId="37" fontId="4" fillId="0" borderId="16" xfId="0" applyNumberFormat="1" applyFont="1" applyBorder="1"/>
    <xf numFmtId="37" fontId="3" fillId="0" borderId="15" xfId="0" applyNumberFormat="1" applyFont="1" applyBorder="1"/>
    <xf numFmtId="37" fontId="4" fillId="0" borderId="15" xfId="0" applyNumberFormat="1" applyFont="1" applyBorder="1" applyAlignment="1">
      <alignment horizontal="center"/>
    </xf>
    <xf numFmtId="37" fontId="4" fillId="0" borderId="15" xfId="0" applyNumberFormat="1" applyFont="1" applyBorder="1"/>
    <xf numFmtId="37" fontId="3" fillId="0" borderId="16" xfId="0" applyNumberFormat="1" applyFont="1" applyBorder="1"/>
    <xf numFmtId="9" fontId="4" fillId="0" borderId="15" xfId="5" applyFont="1" applyBorder="1"/>
    <xf numFmtId="9" fontId="4" fillId="0" borderId="16" xfId="5" applyFont="1" applyBorder="1"/>
    <xf numFmtId="0" fontId="3" fillId="0" borderId="15" xfId="0" applyFont="1" applyBorder="1"/>
    <xf numFmtId="0" fontId="4" fillId="0" borderId="15" xfId="0" applyFont="1" applyBorder="1"/>
    <xf numFmtId="9" fontId="3" fillId="0" borderId="16" xfId="5" applyFont="1" applyBorder="1"/>
    <xf numFmtId="37" fontId="3" fillId="0" borderId="17" xfId="1" applyNumberFormat="1" applyFont="1" applyBorder="1" applyAlignment="1">
      <alignment horizontal="center"/>
    </xf>
    <xf numFmtId="37" fontId="3" fillId="0" borderId="17" xfId="0" applyNumberFormat="1" applyFont="1" applyBorder="1" applyAlignment="1">
      <alignment horizontal="center"/>
    </xf>
    <xf numFmtId="165" fontId="4" fillId="0" borderId="18" xfId="1" applyFont="1" applyBorder="1"/>
    <xf numFmtId="0" fontId="4" fillId="0" borderId="18" xfId="0" applyFont="1" applyBorder="1"/>
    <xf numFmtId="37" fontId="4" fillId="2" borderId="18" xfId="0" applyNumberFormat="1" applyFont="1" applyFill="1" applyBorder="1"/>
    <xf numFmtId="37" fontId="4" fillId="2" borderId="18" xfId="1" applyNumberFormat="1" applyFont="1" applyFill="1" applyBorder="1"/>
    <xf numFmtId="37" fontId="4" fillId="0" borderId="19" xfId="1" applyNumberFormat="1" applyFont="1" applyBorder="1"/>
    <xf numFmtId="37" fontId="4" fillId="0" borderId="19" xfId="0" applyNumberFormat="1" applyFont="1" applyBorder="1"/>
    <xf numFmtId="37" fontId="3" fillId="0" borderId="19" xfId="1" applyNumberFormat="1" applyFont="1" applyBorder="1" applyAlignment="1">
      <alignment horizontal="center"/>
    </xf>
    <xf numFmtId="37" fontId="3" fillId="0" borderId="19" xfId="0" applyNumberFormat="1" applyFont="1" applyBorder="1" applyAlignment="1">
      <alignment horizontal="center"/>
    </xf>
    <xf numFmtId="37" fontId="4" fillId="0" borderId="17" xfId="1" applyNumberFormat="1" applyFont="1" applyBorder="1" applyAlignment="1">
      <alignment horizontal="center"/>
    </xf>
    <xf numFmtId="37" fontId="4" fillId="0" borderId="17" xfId="0" applyNumberFormat="1" applyFont="1" applyBorder="1" applyAlignment="1">
      <alignment horizontal="center"/>
    </xf>
    <xf numFmtId="37" fontId="4" fillId="0" borderId="18" xfId="1" applyNumberFormat="1" applyFont="1" applyBorder="1"/>
    <xf numFmtId="37" fontId="4" fillId="0" borderId="20" xfId="0" applyNumberFormat="1" applyFont="1" applyBorder="1"/>
    <xf numFmtId="9" fontId="4" fillId="0" borderId="17" xfId="5" applyFont="1" applyBorder="1"/>
    <xf numFmtId="9" fontId="4" fillId="0" borderId="18" xfId="5" applyFont="1" applyBorder="1"/>
    <xf numFmtId="165" fontId="4" fillId="0" borderId="19" xfId="1" applyFont="1" applyBorder="1"/>
    <xf numFmtId="0" fontId="4" fillId="0" borderId="19" xfId="0" applyFont="1" applyBorder="1"/>
    <xf numFmtId="0" fontId="3" fillId="0" borderId="19" xfId="0" applyFont="1" applyBorder="1" applyAlignment="1">
      <alignment horizontal="center"/>
    </xf>
    <xf numFmtId="165" fontId="3" fillId="0" borderId="19" xfId="1" applyFont="1" applyBorder="1" applyAlignment="1">
      <alignment horizontal="center"/>
    </xf>
    <xf numFmtId="165" fontId="3" fillId="0" borderId="19" xfId="1" quotePrefix="1" applyFont="1" applyBorder="1" applyAlignment="1">
      <alignment horizontal="center"/>
    </xf>
    <xf numFmtId="10" fontId="3" fillId="2" borderId="19" xfId="1" quotePrefix="1" applyNumberFormat="1" applyFont="1" applyFill="1" applyBorder="1" applyAlignment="1">
      <alignment horizontal="center"/>
    </xf>
    <xf numFmtId="0" fontId="4" fillId="0" borderId="17" xfId="0" quotePrefix="1" applyFont="1" applyBorder="1" applyAlignment="1">
      <alignment horizontal="center"/>
    </xf>
    <xf numFmtId="0" fontId="4" fillId="2" borderId="17" xfId="0" applyFont="1" applyFill="1" applyBorder="1" applyAlignment="1">
      <alignment horizontal="center"/>
    </xf>
    <xf numFmtId="165" fontId="4" fillId="2" borderId="17" xfId="1" applyFont="1" applyFill="1" applyBorder="1" applyAlignment="1">
      <alignment horizontal="center"/>
    </xf>
    <xf numFmtId="167" fontId="4" fillId="0" borderId="17" xfId="1" quotePrefix="1" applyNumberFormat="1" applyFont="1" applyBorder="1" applyAlignment="1">
      <alignment horizontal="center"/>
    </xf>
    <xf numFmtId="165" fontId="4" fillId="0" borderId="17" xfId="1" applyFont="1" applyBorder="1" applyAlignment="1">
      <alignment horizontal="center"/>
    </xf>
    <xf numFmtId="168" fontId="4" fillId="0" borderId="17" xfId="1" applyNumberFormat="1" applyFont="1" applyBorder="1" applyAlignment="1">
      <alignment horizontal="right"/>
    </xf>
    <xf numFmtId="167" fontId="4" fillId="0" borderId="17" xfId="1" applyNumberFormat="1" applyFont="1" applyBorder="1" applyAlignment="1">
      <alignment horizontal="center"/>
    </xf>
    <xf numFmtId="165" fontId="4" fillId="0" borderId="19" xfId="0" applyNumberFormat="1" applyFont="1" applyBorder="1" applyAlignment="1">
      <alignment horizontal="center"/>
    </xf>
    <xf numFmtId="0" fontId="4" fillId="0" borderId="18" xfId="0" applyFont="1" applyBorder="1" applyAlignment="1">
      <alignment horizontal="center"/>
    </xf>
    <xf numFmtId="165" fontId="4" fillId="2" borderId="18" xfId="1" applyFont="1" applyFill="1" applyBorder="1" applyAlignment="1">
      <alignment horizontal="center"/>
    </xf>
    <xf numFmtId="167" fontId="4" fillId="0" borderId="18" xfId="1" quotePrefix="1" applyNumberFormat="1" applyFont="1" applyBorder="1" applyAlignment="1">
      <alignment horizontal="center"/>
    </xf>
    <xf numFmtId="165" fontId="4" fillId="0" borderId="18" xfId="1" applyFont="1" applyBorder="1" applyAlignment="1">
      <alignment horizontal="center"/>
    </xf>
    <xf numFmtId="168" fontId="4" fillId="0" borderId="18" xfId="1" applyNumberFormat="1" applyFont="1" applyBorder="1" applyAlignment="1">
      <alignment horizontal="right"/>
    </xf>
    <xf numFmtId="167" fontId="4" fillId="0" borderId="18" xfId="1" applyNumberFormat="1" applyFont="1" applyBorder="1" applyAlignment="1">
      <alignment horizontal="center"/>
    </xf>
    <xf numFmtId="165" fontId="4" fillId="0" borderId="17" xfId="0" applyNumberFormat="1" applyFont="1" applyBorder="1" applyAlignment="1">
      <alignment horizontal="center"/>
    </xf>
    <xf numFmtId="168" fontId="4" fillId="2" borderId="18" xfId="1" applyNumberFormat="1" applyFont="1" applyFill="1" applyBorder="1" applyAlignment="1">
      <alignment horizontal="right"/>
    </xf>
    <xf numFmtId="0" fontId="4" fillId="0" borderId="19" xfId="0" applyFont="1" applyBorder="1" applyAlignment="1">
      <alignment horizontal="center"/>
    </xf>
    <xf numFmtId="168" fontId="4" fillId="0" borderId="19" xfId="0" applyNumberFormat="1" applyFont="1" applyBorder="1"/>
    <xf numFmtId="37" fontId="3" fillId="0" borderId="21" xfId="0" applyNumberFormat="1" applyFont="1" applyBorder="1" applyAlignment="1">
      <alignment horizontal="center"/>
    </xf>
    <xf numFmtId="0" fontId="4" fillId="0" borderId="22" xfId="0" applyFont="1" applyBorder="1"/>
    <xf numFmtId="37" fontId="4" fillId="0" borderId="22" xfId="0" applyNumberFormat="1" applyFont="1" applyBorder="1"/>
    <xf numFmtId="37" fontId="3" fillId="0" borderId="23" xfId="0" applyNumberFormat="1" applyFont="1" applyBorder="1" applyAlignment="1">
      <alignment horizontal="center"/>
    </xf>
    <xf numFmtId="0" fontId="4" fillId="0" borderId="24" xfId="0" applyFont="1" applyBorder="1"/>
    <xf numFmtId="37" fontId="4" fillId="2" borderId="24" xfId="1" applyNumberFormat="1" applyFont="1" applyFill="1" applyBorder="1"/>
    <xf numFmtId="0" fontId="4" fillId="2" borderId="18" xfId="0" applyFont="1" applyFill="1" applyBorder="1"/>
    <xf numFmtId="165" fontId="4" fillId="0" borderId="25" xfId="1" applyFont="1" applyBorder="1" applyAlignment="1">
      <alignment horizontal="center"/>
    </xf>
    <xf numFmtId="164" fontId="4" fillId="0" borderId="26" xfId="2" applyFont="1" applyBorder="1"/>
    <xf numFmtId="165" fontId="4" fillId="0" borderId="27" xfId="1" applyFont="1" applyBorder="1"/>
    <xf numFmtId="165" fontId="4" fillId="0" borderId="28" xfId="1" applyFont="1" applyBorder="1"/>
    <xf numFmtId="0" fontId="4" fillId="0" borderId="29" xfId="0" applyFont="1" applyBorder="1"/>
    <xf numFmtId="0" fontId="4" fillId="2" borderId="19" xfId="0" applyFont="1" applyFill="1" applyBorder="1" applyAlignment="1">
      <alignment horizontal="center"/>
    </xf>
    <xf numFmtId="1" fontId="4" fillId="0" borderId="30" xfId="0" applyNumberFormat="1" applyFont="1" applyBorder="1" applyAlignment="1">
      <alignment horizontal="center"/>
    </xf>
    <xf numFmtId="37" fontId="7" fillId="4" borderId="0" xfId="1" applyNumberFormat="1" applyFont="1" applyFill="1"/>
    <xf numFmtId="9" fontId="3" fillId="0" borderId="16" xfId="5" applyFont="1" applyBorder="1" applyAlignment="1">
      <alignment horizontal="center"/>
    </xf>
    <xf numFmtId="9" fontId="3" fillId="0" borderId="24" xfId="5" applyFont="1" applyBorder="1"/>
    <xf numFmtId="0" fontId="3" fillId="0" borderId="19" xfId="0" applyFont="1" applyBorder="1" applyAlignment="1">
      <alignment horizontal="left"/>
    </xf>
    <xf numFmtId="9" fontId="4" fillId="0" borderId="18" xfId="1" applyNumberFormat="1" applyFont="1" applyBorder="1" applyAlignment="1">
      <alignment horizontal="center"/>
    </xf>
    <xf numFmtId="9" fontId="4" fillId="0" borderId="17" xfId="1" applyNumberFormat="1" applyFont="1" applyBorder="1" applyAlignment="1">
      <alignment horizontal="center"/>
    </xf>
    <xf numFmtId="0" fontId="4" fillId="0" borderId="17" xfId="0" applyFont="1" applyFill="1" applyBorder="1" applyAlignment="1">
      <alignment horizontal="center"/>
    </xf>
    <xf numFmtId="165" fontId="4" fillId="0" borderId="18" xfId="1" applyFont="1" applyFill="1" applyBorder="1" applyAlignment="1">
      <alignment horizontal="center"/>
    </xf>
    <xf numFmtId="164" fontId="3" fillId="0" borderId="26" xfId="2" applyFont="1" applyBorder="1"/>
    <xf numFmtId="165" fontId="3" fillId="0" borderId="19" xfId="1" applyFont="1" applyBorder="1"/>
    <xf numFmtId="170" fontId="3" fillId="0" borderId="0" xfId="0" applyNumberFormat="1" applyFont="1"/>
    <xf numFmtId="170" fontId="4" fillId="0" borderId="0" xfId="0" applyNumberFormat="1" applyFont="1"/>
    <xf numFmtId="170" fontId="3" fillId="0" borderId="26" xfId="2" applyNumberFormat="1" applyFont="1" applyBorder="1"/>
    <xf numFmtId="169" fontId="0" fillId="2" borderId="2" xfId="1" applyNumberFormat="1" applyFont="1" applyFill="1" applyBorder="1"/>
    <xf numFmtId="169" fontId="0" fillId="2" borderId="4" xfId="1" applyNumberFormat="1" applyFont="1" applyFill="1" applyBorder="1"/>
    <xf numFmtId="169" fontId="0" fillId="0" borderId="31" xfId="1" applyNumberFormat="1" applyFont="1" applyBorder="1"/>
    <xf numFmtId="169" fontId="0" fillId="2" borderId="11" xfId="0" applyNumberFormat="1" applyFill="1" applyBorder="1"/>
    <xf numFmtId="169" fontId="0" fillId="2" borderId="12" xfId="0" applyNumberFormat="1" applyFill="1" applyBorder="1"/>
    <xf numFmtId="169" fontId="0" fillId="2" borderId="13" xfId="0" applyNumberFormat="1" applyFill="1" applyBorder="1"/>
    <xf numFmtId="169" fontId="0" fillId="0" borderId="31" xfId="0" applyNumberFormat="1" applyBorder="1"/>
    <xf numFmtId="169" fontId="0" fillId="2" borderId="7" xfId="0" applyNumberFormat="1" applyFill="1" applyBorder="1"/>
    <xf numFmtId="169" fontId="0" fillId="2" borderId="3" xfId="0" applyNumberFormat="1" applyFill="1" applyBorder="1"/>
    <xf numFmtId="169" fontId="0" fillId="2" borderId="5" xfId="0" applyNumberFormat="1" applyFill="1" applyBorder="1"/>
    <xf numFmtId="0" fontId="20" fillId="0" borderId="0" xfId="0" applyFont="1" applyFill="1"/>
    <xf numFmtId="0" fontId="0" fillId="0" borderId="0" xfId="0" applyFill="1"/>
    <xf numFmtId="0" fontId="22" fillId="0" borderId="0" xfId="0" applyFont="1"/>
    <xf numFmtId="0" fontId="3" fillId="0" borderId="0" xfId="0" applyFont="1" applyAlignment="1">
      <alignment horizontal="right"/>
    </xf>
    <xf numFmtId="10" fontId="4" fillId="0" borderId="0" xfId="1" applyNumberFormat="1" applyFont="1"/>
    <xf numFmtId="164" fontId="4" fillId="0" borderId="0" xfId="2" applyFont="1" applyBorder="1" applyAlignment="1">
      <alignment horizontal="center"/>
    </xf>
    <xf numFmtId="0" fontId="0" fillId="0" borderId="0" xfId="0" applyAlignment="1">
      <alignment horizontal="center"/>
    </xf>
    <xf numFmtId="9" fontId="1" fillId="0" borderId="0" xfId="5" applyFont="1" applyFill="1" applyBorder="1" applyAlignment="1">
      <alignment horizontal="center"/>
    </xf>
    <xf numFmtId="0" fontId="0" fillId="0" borderId="0" xfId="0" quotePrefix="1" applyFill="1" applyAlignment="1">
      <alignment horizontal="center"/>
    </xf>
    <xf numFmtId="166" fontId="0" fillId="3" borderId="11" xfId="1" applyNumberFormat="1" applyFont="1" applyFill="1" applyBorder="1" applyAlignment="1"/>
    <xf numFmtId="166" fontId="0" fillId="3" borderId="12" xfId="1" applyNumberFormat="1" applyFont="1" applyFill="1" applyBorder="1" applyAlignment="1"/>
    <xf numFmtId="166" fontId="0" fillId="3" borderId="13" xfId="1" applyNumberFormat="1" applyFont="1" applyFill="1" applyBorder="1" applyAlignment="1"/>
    <xf numFmtId="0" fontId="11" fillId="2" borderId="14" xfId="0" applyFont="1" applyFill="1" applyBorder="1" applyAlignment="1">
      <alignment horizontal="center"/>
    </xf>
    <xf numFmtId="0" fontId="0" fillId="0" borderId="0" xfId="0" applyAlignment="1">
      <alignment horizontal="right"/>
    </xf>
    <xf numFmtId="169" fontId="0" fillId="0" borderId="0" xfId="0" applyNumberFormat="1" applyAlignment="1">
      <alignment horizontal="left"/>
    </xf>
    <xf numFmtId="0" fontId="0" fillId="5" borderId="0" xfId="0" applyFill="1"/>
    <xf numFmtId="0" fontId="0" fillId="6" borderId="0" xfId="0" applyFill="1"/>
    <xf numFmtId="0" fontId="0" fillId="4" borderId="0" xfId="0" applyFill="1"/>
    <xf numFmtId="0" fontId="26" fillId="0" borderId="0" xfId="0" applyFont="1"/>
    <xf numFmtId="0" fontId="0" fillId="7" borderId="0" xfId="0" applyFill="1"/>
    <xf numFmtId="0" fontId="27" fillId="0" borderId="0" xfId="0" applyFont="1"/>
    <xf numFmtId="0" fontId="0" fillId="2" borderId="0" xfId="0" applyFill="1" applyAlignment="1">
      <alignment horizontal="center"/>
    </xf>
    <xf numFmtId="166" fontId="0" fillId="0" borderId="0" xfId="0" applyNumberFormat="1"/>
    <xf numFmtId="0" fontId="0" fillId="8" borderId="0" xfId="0" applyFill="1"/>
    <xf numFmtId="0" fontId="2" fillId="8" borderId="0" xfId="0" applyFont="1" applyFill="1"/>
    <xf numFmtId="10" fontId="0" fillId="0" borderId="0" xfId="0" applyNumberFormat="1"/>
    <xf numFmtId="10" fontId="2" fillId="8" borderId="0" xfId="0" applyNumberFormat="1" applyFont="1" applyFill="1" applyAlignment="1">
      <alignment horizontal="center"/>
    </xf>
    <xf numFmtId="0" fontId="52" fillId="0" borderId="0" xfId="0" applyFont="1"/>
    <xf numFmtId="0" fontId="0" fillId="8" borderId="14" xfId="0" applyNumberFormat="1" applyFill="1" applyBorder="1"/>
    <xf numFmtId="0" fontId="2" fillId="0" borderId="0" xfId="0" applyFont="1"/>
    <xf numFmtId="0" fontId="0" fillId="9" borderId="0" xfId="0" applyFill="1"/>
    <xf numFmtId="0" fontId="2" fillId="9" borderId="0" xfId="0" applyFont="1" applyFill="1"/>
    <xf numFmtId="0" fontId="0" fillId="10" borderId="0" xfId="0" applyFill="1"/>
    <xf numFmtId="0" fontId="11" fillId="10" borderId="0" xfId="0" applyFont="1" applyFill="1"/>
    <xf numFmtId="0" fontId="4" fillId="0" borderId="0" xfId="0" applyFont="1" applyProtection="1">
      <protection locked="0"/>
    </xf>
    <xf numFmtId="165" fontId="5" fillId="0" borderId="0" xfId="1" applyFont="1" applyProtection="1">
      <protection locked="0"/>
    </xf>
    <xf numFmtId="166" fontId="5" fillId="0" borderId="0" xfId="1" applyNumberFormat="1" applyFont="1" applyProtection="1">
      <protection locked="0"/>
    </xf>
    <xf numFmtId="0" fontId="3" fillId="0" borderId="0" xfId="0" applyFont="1" applyAlignment="1" applyProtection="1">
      <alignment horizontal="center"/>
      <protection locked="0"/>
    </xf>
    <xf numFmtId="44" fontId="4" fillId="0" borderId="0" xfId="0" applyNumberFormat="1" applyFont="1" applyProtection="1">
      <protection locked="0"/>
    </xf>
    <xf numFmtId="164" fontId="3" fillId="0" borderId="26" xfId="2" applyNumberFormat="1" applyFont="1" applyBorder="1" applyProtection="1"/>
    <xf numFmtId="0" fontId="31" fillId="0" borderId="0" xfId="0" applyFont="1" applyProtection="1">
      <protection locked="0"/>
    </xf>
    <xf numFmtId="167" fontId="4" fillId="0" borderId="18" xfId="1" quotePrefix="1" applyNumberFormat="1" applyFont="1" applyFill="1" applyBorder="1" applyAlignment="1">
      <alignment horizontal="center"/>
    </xf>
    <xf numFmtId="9" fontId="32" fillId="0" borderId="0" xfId="5" applyFont="1" applyAlignment="1">
      <alignment horizontal="left"/>
    </xf>
    <xf numFmtId="9" fontId="4" fillId="0" borderId="0" xfId="5" applyFont="1" applyAlignment="1">
      <alignment horizontal="left"/>
    </xf>
    <xf numFmtId="165" fontId="4" fillId="0" borderId="0" xfId="1" applyFont="1" applyProtection="1">
      <protection locked="0"/>
    </xf>
    <xf numFmtId="166" fontId="4" fillId="0" borderId="0" xfId="1" applyNumberFormat="1" applyFont="1" applyProtection="1">
      <protection locked="0"/>
    </xf>
    <xf numFmtId="10" fontId="3" fillId="2" borderId="14" xfId="5" applyNumberFormat="1" applyFont="1" applyFill="1" applyBorder="1" applyAlignment="1" applyProtection="1">
      <alignment horizontal="center"/>
      <protection locked="0"/>
    </xf>
    <xf numFmtId="9" fontId="3" fillId="0" borderId="0" xfId="5" applyFont="1" applyAlignment="1">
      <alignment horizontal="left"/>
    </xf>
    <xf numFmtId="0" fontId="32" fillId="0" borderId="0" xfId="0" applyFont="1" applyBorder="1" applyAlignment="1"/>
    <xf numFmtId="44" fontId="4" fillId="0" borderId="14" xfId="0" applyNumberFormat="1" applyFont="1" applyBorder="1" applyProtection="1">
      <protection locked="0"/>
    </xf>
    <xf numFmtId="165" fontId="4" fillId="0" borderId="0" xfId="1" applyFont="1" applyBorder="1"/>
    <xf numFmtId="2" fontId="4" fillId="2" borderId="18" xfId="1" applyNumberFormat="1" applyFont="1" applyFill="1" applyBorder="1" applyAlignment="1">
      <alignment horizontal="right"/>
    </xf>
    <xf numFmtId="10" fontId="53" fillId="8" borderId="0" xfId="0" applyNumberFormat="1" applyFont="1" applyFill="1" applyAlignment="1">
      <alignment horizontal="center"/>
    </xf>
    <xf numFmtId="0" fontId="4" fillId="8" borderId="0" xfId="0" applyFont="1" applyFill="1"/>
    <xf numFmtId="0" fontId="8" fillId="8" borderId="0" xfId="0" applyFont="1" applyFill="1" applyAlignment="1">
      <alignment horizontal="right"/>
    </xf>
    <xf numFmtId="171" fontId="4" fillId="8" borderId="9" xfId="0" applyNumberFormat="1" applyFont="1" applyFill="1" applyBorder="1"/>
    <xf numFmtId="0" fontId="54" fillId="0" borderId="0" xfId="0" applyFont="1"/>
    <xf numFmtId="0" fontId="0" fillId="11" borderId="32" xfId="0" applyFill="1" applyBorder="1"/>
    <xf numFmtId="0" fontId="0" fillId="11" borderId="9" xfId="0" applyFill="1" applyBorder="1"/>
    <xf numFmtId="0" fontId="4" fillId="11" borderId="1" xfId="0" applyFont="1" applyFill="1" applyBorder="1" applyAlignment="1">
      <alignment horizontal="right"/>
    </xf>
    <xf numFmtId="171" fontId="0" fillId="3" borderId="33" xfId="1" applyNumberFormat="1" applyFont="1" applyFill="1" applyBorder="1" applyAlignment="1">
      <alignment horizontal="center"/>
    </xf>
    <xf numFmtId="0" fontId="4" fillId="0" borderId="3" xfId="0" applyFont="1" applyBorder="1" applyAlignment="1">
      <alignment horizontal="right"/>
    </xf>
    <xf numFmtId="0" fontId="2" fillId="0" borderId="0" xfId="0" applyFont="1" applyAlignment="1">
      <alignment horizontal="left" wrapText="1"/>
    </xf>
    <xf numFmtId="0" fontId="55" fillId="0" borderId="0" xfId="0" applyFont="1"/>
    <xf numFmtId="15" fontId="56" fillId="8" borderId="0" xfId="0" applyNumberFormat="1" applyFont="1" applyFill="1" applyAlignment="1">
      <alignment horizontal="center" vertical="center" readingOrder="1"/>
    </xf>
    <xf numFmtId="0" fontId="53" fillId="9" borderId="0" xfId="0" applyFont="1" applyFill="1"/>
    <xf numFmtId="0" fontId="12" fillId="9" borderId="0" xfId="0" applyFont="1" applyFill="1" applyBorder="1"/>
    <xf numFmtId="0" fontId="2" fillId="9" borderId="0" xfId="0" applyFont="1" applyFill="1" applyBorder="1"/>
    <xf numFmtId="173" fontId="0" fillId="0" borderId="0" xfId="0" quotePrefix="1" applyNumberFormat="1" applyFill="1" applyAlignment="1">
      <alignment horizontal="center"/>
    </xf>
    <xf numFmtId="0" fontId="11" fillId="0" borderId="0" xfId="0" applyFont="1" applyFill="1" applyBorder="1" applyAlignment="1">
      <alignment horizontal="center"/>
    </xf>
    <xf numFmtId="0" fontId="0" fillId="12" borderId="14" xfId="0" applyFill="1" applyBorder="1"/>
    <xf numFmtId="0" fontId="0" fillId="13" borderId="0" xfId="0" applyFill="1" applyAlignment="1">
      <alignment horizontal="center"/>
    </xf>
    <xf numFmtId="16" fontId="2" fillId="0" borderId="0" xfId="0" quotePrefix="1" applyNumberFormat="1" applyFont="1" applyFill="1" applyAlignment="1">
      <alignment horizontal="center"/>
    </xf>
    <xf numFmtId="0" fontId="0" fillId="14" borderId="0" xfId="0" applyFill="1"/>
    <xf numFmtId="37" fontId="7" fillId="0" borderId="19" xfId="1" applyNumberFormat="1" applyFont="1" applyBorder="1" applyAlignment="1">
      <alignment horizontal="left"/>
    </xf>
    <xf numFmtId="9" fontId="4" fillId="15" borderId="0" xfId="5" applyFont="1" applyFill="1" applyAlignment="1">
      <alignment horizontal="left"/>
    </xf>
    <xf numFmtId="165" fontId="4" fillId="15" borderId="0" xfId="1" applyFont="1" applyFill="1" applyProtection="1">
      <protection locked="0"/>
    </xf>
    <xf numFmtId="0" fontId="4" fillId="15" borderId="0" xfId="0" applyFont="1" applyFill="1"/>
    <xf numFmtId="165" fontId="4" fillId="15" borderId="0" xfId="1" applyFont="1" applyFill="1"/>
    <xf numFmtId="165" fontId="4" fillId="15" borderId="18" xfId="1" applyFont="1" applyFill="1" applyBorder="1" applyAlignment="1">
      <alignment horizontal="center"/>
    </xf>
    <xf numFmtId="0" fontId="57" fillId="0" borderId="0" xfId="0" applyFont="1"/>
    <xf numFmtId="37" fontId="58" fillId="0" borderId="0" xfId="3" applyNumberFormat="1" applyFont="1"/>
    <xf numFmtId="0" fontId="51" fillId="8" borderId="0" xfId="3" applyFill="1"/>
    <xf numFmtId="44" fontId="4" fillId="15" borderId="0" xfId="0" applyNumberFormat="1" applyFont="1" applyFill="1" applyProtection="1">
      <protection locked="0"/>
    </xf>
    <xf numFmtId="0" fontId="51" fillId="9" borderId="0" xfId="3" applyFill="1" applyBorder="1"/>
    <xf numFmtId="0" fontId="11" fillId="16" borderId="0" xfId="0" applyFont="1" applyFill="1"/>
    <xf numFmtId="0" fontId="0" fillId="16" borderId="0" xfId="0" applyFill="1"/>
    <xf numFmtId="15" fontId="53" fillId="8" borderId="0" xfId="0" applyNumberFormat="1" applyFont="1" applyFill="1" applyAlignment="1">
      <alignment horizontal="center" vertical="center" readingOrder="1"/>
    </xf>
    <xf numFmtId="15" fontId="59" fillId="8" borderId="0" xfId="0" applyNumberFormat="1" applyFont="1" applyFill="1" applyAlignment="1">
      <alignment horizontal="center" vertical="center" readingOrder="1"/>
    </xf>
    <xf numFmtId="10" fontId="47" fillId="8" borderId="0" xfId="0" applyNumberFormat="1" applyFont="1" applyFill="1" applyAlignment="1">
      <alignment horizontal="center"/>
    </xf>
    <xf numFmtId="0" fontId="60" fillId="0" borderId="0" xfId="0" applyFont="1"/>
    <xf numFmtId="0" fontId="61" fillId="17" borderId="0" xfId="0" applyFont="1" applyFill="1" applyAlignment="1">
      <alignment horizontal="center" vertical="center" wrapText="1"/>
    </xf>
    <xf numFmtId="166" fontId="61" fillId="0" borderId="0" xfId="1" applyNumberFormat="1" applyFont="1" applyAlignment="1">
      <alignment horizontal="center" vertical="center" wrapText="1"/>
    </xf>
    <xf numFmtId="0" fontId="30" fillId="0" borderId="0" xfId="0" applyFont="1"/>
    <xf numFmtId="172" fontId="0" fillId="0" borderId="0" xfId="0" applyNumberFormat="1"/>
    <xf numFmtId="0" fontId="0" fillId="8" borderId="0" xfId="0" applyFill="1" applyBorder="1" applyAlignment="1">
      <alignment horizontal="center"/>
    </xf>
    <xf numFmtId="0" fontId="55" fillId="0" borderId="0" xfId="0" applyFont="1" applyBorder="1" applyAlignment="1"/>
    <xf numFmtId="0" fontId="62" fillId="0" borderId="0" xfId="0" applyFont="1" applyBorder="1" applyAlignment="1"/>
    <xf numFmtId="0" fontId="0" fillId="0" borderId="0" xfId="0" applyAlignment="1">
      <alignment wrapText="1"/>
    </xf>
    <xf numFmtId="0" fontId="63" fillId="0" borderId="34" xfId="0" applyFont="1" applyBorder="1" applyAlignment="1">
      <alignment vertical="top"/>
    </xf>
    <xf numFmtId="0" fontId="63" fillId="0" borderId="35" xfId="0" applyFont="1" applyBorder="1" applyAlignment="1">
      <alignment vertical="top"/>
    </xf>
    <xf numFmtId="0" fontId="63" fillId="0" borderId="36" xfId="0" applyFont="1" applyBorder="1" applyAlignment="1">
      <alignment vertical="top"/>
    </xf>
    <xf numFmtId="0" fontId="55" fillId="9" borderId="37" xfId="0" applyFont="1" applyFill="1" applyBorder="1" applyAlignment="1">
      <alignment vertical="top" wrapText="1"/>
    </xf>
    <xf numFmtId="0" fontId="0" fillId="9" borderId="38" xfId="0" applyFill="1" applyBorder="1" applyAlignment="1">
      <alignment wrapText="1"/>
    </xf>
    <xf numFmtId="0" fontId="0" fillId="9" borderId="0" xfId="0" applyFill="1" applyBorder="1" applyAlignment="1">
      <alignment wrapText="1"/>
    </xf>
    <xf numFmtId="0" fontId="0" fillId="9" borderId="37" xfId="0" applyFill="1" applyBorder="1" applyAlignment="1">
      <alignment wrapText="1"/>
    </xf>
    <xf numFmtId="17" fontId="0" fillId="0" borderId="0" xfId="0" applyNumberFormat="1"/>
    <xf numFmtId="49" fontId="2" fillId="0" borderId="14" xfId="0" applyNumberFormat="1" applyFont="1" applyFill="1" applyBorder="1"/>
    <xf numFmtId="0" fontId="64" fillId="0" borderId="0" xfId="0" applyFont="1"/>
    <xf numFmtId="37" fontId="50" fillId="0" borderId="0" xfId="0" applyNumberFormat="1" applyFont="1"/>
    <xf numFmtId="16" fontId="0" fillId="2" borderId="14" xfId="0" applyNumberFormat="1" applyFill="1" applyBorder="1"/>
    <xf numFmtId="0" fontId="2" fillId="0" borderId="0" xfId="0" applyFont="1" applyAlignment="1">
      <alignment horizontal="center"/>
    </xf>
    <xf numFmtId="0" fontId="2" fillId="0" borderId="0" xfId="0" applyFont="1" applyAlignment="1">
      <alignment horizontal="left"/>
    </xf>
    <xf numFmtId="15" fontId="2" fillId="0" borderId="0" xfId="0" applyNumberFormat="1" applyFont="1"/>
    <xf numFmtId="15" fontId="0" fillId="0" borderId="0" xfId="0" applyNumberFormat="1" applyFill="1"/>
    <xf numFmtId="15" fontId="0" fillId="0" borderId="0" xfId="0" applyNumberFormat="1"/>
    <xf numFmtId="10" fontId="1" fillId="12" borderId="14" xfId="5" applyNumberFormat="1" applyFont="1" applyFill="1" applyBorder="1" applyAlignment="1">
      <alignment horizontal="center"/>
    </xf>
    <xf numFmtId="166" fontId="0" fillId="8" borderId="11" xfId="1" applyNumberFormat="1" applyFont="1" applyFill="1" applyBorder="1" applyAlignment="1"/>
    <xf numFmtId="166" fontId="0" fillId="8" borderId="12" xfId="1" applyNumberFormat="1" applyFont="1" applyFill="1" applyBorder="1" applyAlignment="1"/>
    <xf numFmtId="166" fontId="0" fillId="8" borderId="13" xfId="1" applyNumberFormat="1" applyFont="1" applyFill="1" applyBorder="1" applyAlignment="1"/>
    <xf numFmtId="0" fontId="2" fillId="3" borderId="0" xfId="0" applyFont="1" applyFill="1" applyAlignment="1">
      <alignment vertical="top" wrapText="1"/>
    </xf>
    <xf numFmtId="0" fontId="0" fillId="3" borderId="0" xfId="0" applyFill="1" applyAlignment="1">
      <alignment vertical="top" wrapText="1"/>
    </xf>
    <xf numFmtId="0" fontId="18" fillId="3" borderId="0" xfId="0" applyFont="1" applyFill="1" applyAlignment="1">
      <alignment horizontal="left" vertical="top" wrapText="1"/>
    </xf>
    <xf numFmtId="0" fontId="18" fillId="3" borderId="0" xfId="0" applyFont="1" applyFill="1" applyAlignment="1">
      <alignment vertical="top" wrapText="1"/>
    </xf>
    <xf numFmtId="0" fontId="0" fillId="0" borderId="0" xfId="0" applyBorder="1" applyAlignment="1">
      <alignment horizontal="center"/>
    </xf>
    <xf numFmtId="0" fontId="3" fillId="0" borderId="9" xfId="0" applyFont="1" applyBorder="1" applyAlignment="1">
      <alignment horizontal="center"/>
    </xf>
    <xf numFmtId="0" fontId="62" fillId="0" borderId="38" xfId="0" applyFont="1" applyBorder="1" applyAlignment="1">
      <alignment horizontal="left" vertical="top" wrapText="1"/>
    </xf>
    <xf numFmtId="0" fontId="62" fillId="0" borderId="0" xfId="0" applyFont="1" applyBorder="1" applyAlignment="1">
      <alignment horizontal="left" vertical="top" wrapText="1"/>
    </xf>
    <xf numFmtId="0" fontId="62" fillId="0" borderId="37" xfId="0" applyFont="1" applyBorder="1" applyAlignment="1">
      <alignment horizontal="left" vertical="top" wrapText="1"/>
    </xf>
    <xf numFmtId="0" fontId="55" fillId="0" borderId="38" xfId="0" applyFont="1" applyBorder="1" applyAlignment="1">
      <alignment horizontal="left" wrapText="1"/>
    </xf>
    <xf numFmtId="0" fontId="55" fillId="0" borderId="0" xfId="0" applyFont="1" applyBorder="1" applyAlignment="1">
      <alignment horizontal="left" wrapText="1"/>
    </xf>
    <xf numFmtId="0" fontId="55" fillId="0" borderId="37" xfId="0" applyFont="1" applyBorder="1" applyAlignment="1">
      <alignment horizontal="left" wrapText="1"/>
    </xf>
    <xf numFmtId="0" fontId="55" fillId="0" borderId="39" xfId="0" applyFont="1" applyBorder="1" applyAlignment="1">
      <alignment horizontal="left" wrapText="1"/>
    </xf>
    <xf numFmtId="0" fontId="55" fillId="0" borderId="40" xfId="0" applyFont="1" applyBorder="1" applyAlignment="1">
      <alignment horizontal="left" wrapText="1"/>
    </xf>
    <xf numFmtId="0" fontId="55" fillId="0" borderId="41" xfId="0" applyFont="1" applyBorder="1" applyAlignment="1">
      <alignment horizontal="left" wrapText="1"/>
    </xf>
    <xf numFmtId="0" fontId="55" fillId="0" borderId="38" xfId="0" applyFont="1" applyBorder="1" applyAlignment="1">
      <alignment horizontal="left" vertical="top" wrapText="1"/>
    </xf>
    <xf numFmtId="0" fontId="55" fillId="0" borderId="0" xfId="0" applyFont="1" applyBorder="1" applyAlignment="1">
      <alignment horizontal="left" vertical="top" wrapText="1"/>
    </xf>
    <xf numFmtId="0" fontId="2" fillId="9" borderId="0" xfId="0" applyFont="1" applyFill="1" applyAlignment="1">
      <alignment horizontal="left" vertical="top" wrapText="1"/>
    </xf>
    <xf numFmtId="0" fontId="2" fillId="8" borderId="0" xfId="0" applyFont="1" applyFill="1" applyAlignment="1">
      <alignment horizontal="left" vertical="top" wrapText="1"/>
    </xf>
    <xf numFmtId="0" fontId="0" fillId="8" borderId="0" xfId="0" applyFill="1" applyAlignment="1">
      <alignment horizontal="left" vertical="top" wrapText="1"/>
    </xf>
    <xf numFmtId="15" fontId="3" fillId="2" borderId="19" xfId="0" applyNumberFormat="1" applyFont="1" applyFill="1" applyBorder="1" applyAlignment="1">
      <alignment horizontal="center"/>
    </xf>
    <xf numFmtId="37" fontId="65" fillId="0" borderId="0" xfId="0" applyNumberFormat="1" applyFont="1" applyAlignment="1">
      <alignment horizontal="left" vertical="top" wrapText="1"/>
    </xf>
    <xf numFmtId="167" fontId="0" fillId="0" borderId="0" xfId="0" applyNumberFormat="1"/>
  </cellXfs>
  <cellStyles count="6">
    <cellStyle name="Comma" xfId="1" builtinId="3"/>
    <cellStyle name="Currency" xfId="2" builtinId="4"/>
    <cellStyle name="Hyperlink" xfId="3" builtinId="8"/>
    <cellStyle name="Normal" xfId="0" builtinId="0"/>
    <cellStyle name="Normal 2" xfId="4" xr:uid="{00000000-0005-0000-0000-000004000000}"/>
    <cellStyle name="Percent" xfId="5" builtinId="5"/>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
      <font>
        <b/>
        <i val="0"/>
        <condense val="0"/>
        <extend val="0"/>
        <color indexed="10"/>
      </font>
      <fill>
        <patternFill>
          <bgColor indexed="34"/>
        </patternFill>
      </fill>
    </dxf>
    <dxf>
      <font>
        <b/>
        <i val="0"/>
        <condense val="0"/>
        <extend val="0"/>
        <color indexed="10"/>
      </font>
      <fill>
        <patternFill>
          <bgColor indexed="34"/>
        </patternFill>
      </fill>
    </dxf>
    <dxf>
      <font>
        <b/>
        <i val="0"/>
        <condense val="0"/>
        <extend val="0"/>
        <color indexed="10"/>
      </font>
      <fill>
        <patternFill>
          <bgColor indexed="13"/>
        </patternFill>
      </fill>
    </dxf>
    <dxf>
      <font>
        <b/>
        <i val="0"/>
        <condense val="0"/>
        <extend val="0"/>
        <color indexed="10"/>
      </font>
      <fill>
        <patternFill>
          <bgColor indexed="34"/>
        </patternFill>
      </fill>
    </dxf>
    <dxf>
      <font>
        <b/>
        <i val="0"/>
        <condense val="0"/>
        <extend val="0"/>
        <color indexed="1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426479059436856E-2"/>
          <c:y val="0.17703241304922521"/>
          <c:w val="0.6806889720222985"/>
          <c:h val="0.66601912415038833"/>
        </c:manualLayout>
      </c:layout>
      <c:lineChart>
        <c:grouping val="standard"/>
        <c:varyColors val="0"/>
        <c:ser>
          <c:idx val="0"/>
          <c:order val="0"/>
          <c:tx>
            <c:strRef>
              <c:f>'Data Sheet'!$T$21</c:f>
              <c:strCache>
                <c:ptCount val="1"/>
                <c:pt idx="0">
                  <c:v>31 Dec 23</c:v>
                </c:pt>
              </c:strCache>
            </c:strRef>
          </c:tx>
          <c:spPr>
            <a:ln w="25400">
              <a:solidFill>
                <a:srgbClr val="000080"/>
              </a:solidFill>
              <a:prstDash val="solid"/>
            </a:ln>
          </c:spPr>
          <c:marker>
            <c:symbol val="diamond"/>
            <c:size val="6"/>
            <c:spPr>
              <a:solidFill>
                <a:srgbClr val="000080"/>
              </a:solidFill>
              <a:ln>
                <a:solidFill>
                  <a:srgbClr val="000080"/>
                </a:solidFill>
                <a:prstDash val="solid"/>
              </a:ln>
            </c:spPr>
          </c:marker>
          <c:cat>
            <c:numRef>
              <c:f>'Data Sheet'!$S$22:$S$31</c:f>
              <c:numCache>
                <c:formatCode>General</c:formatCode>
                <c:ptCount val="10"/>
                <c:pt idx="0">
                  <c:v>9</c:v>
                </c:pt>
                <c:pt idx="1">
                  <c:v>8</c:v>
                </c:pt>
                <c:pt idx="2">
                  <c:v>7</c:v>
                </c:pt>
                <c:pt idx="3">
                  <c:v>6</c:v>
                </c:pt>
                <c:pt idx="4">
                  <c:v>5</c:v>
                </c:pt>
                <c:pt idx="5">
                  <c:v>4</c:v>
                </c:pt>
                <c:pt idx="6">
                  <c:v>3</c:v>
                </c:pt>
                <c:pt idx="7">
                  <c:v>2</c:v>
                </c:pt>
                <c:pt idx="8">
                  <c:v>1</c:v>
                </c:pt>
                <c:pt idx="9">
                  <c:v>0</c:v>
                </c:pt>
              </c:numCache>
            </c:numRef>
          </c:cat>
          <c:val>
            <c:numRef>
              <c:f>'Data Sheet'!$T$22:$T$31</c:f>
              <c:numCache>
                <c:formatCode>_(* #,##0.000_);_(* \(#,##0.000\);_(* "-"??_);_(@_)</c:formatCode>
                <c:ptCount val="10"/>
                <c:pt idx="0">
                  <c:v>3.9674999999999998</c:v>
                </c:pt>
                <c:pt idx="1">
                  <c:v>3.7080000000000002</c:v>
                </c:pt>
                <c:pt idx="2">
                  <c:v>3.6080000000000001</c:v>
                </c:pt>
                <c:pt idx="3">
                  <c:v>3.6038999999999999</c:v>
                </c:pt>
                <c:pt idx="4">
                  <c:v>3.6362000000000001</c:v>
                </c:pt>
                <c:pt idx="5">
                  <c:v>3.7201</c:v>
                </c:pt>
                <c:pt idx="6">
                  <c:v>3.8039999999999998</c:v>
                </c:pt>
                <c:pt idx="7">
                  <c:v>3.8708</c:v>
                </c:pt>
                <c:pt idx="8">
                  <c:v>3.931</c:v>
                </c:pt>
                <c:pt idx="9">
                  <c:v>3.9548000000000001</c:v>
                </c:pt>
              </c:numCache>
            </c:numRef>
          </c:val>
          <c:smooth val="0"/>
          <c:extLst>
            <c:ext xmlns:c16="http://schemas.microsoft.com/office/drawing/2014/chart" uri="{C3380CC4-5D6E-409C-BE32-E72D297353CC}">
              <c16:uniqueId val="{00000000-940A-4435-B707-9074C3B43C29}"/>
            </c:ext>
          </c:extLst>
        </c:ser>
        <c:ser>
          <c:idx val="1"/>
          <c:order val="1"/>
          <c:tx>
            <c:strRef>
              <c:f>'Data Sheet'!$U$21</c:f>
              <c:strCache>
                <c:ptCount val="1"/>
                <c:pt idx="0">
                  <c:v>30 April 24</c:v>
                </c:pt>
              </c:strCache>
            </c:strRef>
          </c:tx>
          <c:spPr>
            <a:ln w="25400">
              <a:solidFill>
                <a:srgbClr val="FF00FF"/>
              </a:solidFill>
              <a:prstDash val="solid"/>
            </a:ln>
          </c:spPr>
          <c:marker>
            <c:symbol val="square"/>
            <c:size val="6"/>
            <c:spPr>
              <a:solidFill>
                <a:srgbClr val="FF00FF"/>
              </a:solidFill>
              <a:ln>
                <a:solidFill>
                  <a:srgbClr val="FF00FF"/>
                </a:solidFill>
                <a:prstDash val="solid"/>
              </a:ln>
            </c:spPr>
          </c:marker>
          <c:cat>
            <c:numRef>
              <c:f>'Data Sheet'!$S$22:$S$31</c:f>
              <c:numCache>
                <c:formatCode>General</c:formatCode>
                <c:ptCount val="10"/>
                <c:pt idx="0">
                  <c:v>9</c:v>
                </c:pt>
                <c:pt idx="1">
                  <c:v>8</c:v>
                </c:pt>
                <c:pt idx="2">
                  <c:v>7</c:v>
                </c:pt>
                <c:pt idx="3">
                  <c:v>6</c:v>
                </c:pt>
                <c:pt idx="4">
                  <c:v>5</c:v>
                </c:pt>
                <c:pt idx="5">
                  <c:v>4</c:v>
                </c:pt>
                <c:pt idx="6">
                  <c:v>3</c:v>
                </c:pt>
                <c:pt idx="7">
                  <c:v>2</c:v>
                </c:pt>
                <c:pt idx="8">
                  <c:v>1</c:v>
                </c:pt>
                <c:pt idx="9">
                  <c:v>0</c:v>
                </c:pt>
              </c:numCache>
            </c:numRef>
          </c:cat>
          <c:val>
            <c:numRef>
              <c:f>'Data Sheet'!$U$22:$U$31</c:f>
              <c:numCache>
                <c:formatCode>_(* #,##0.000_);_(* \(#,##0.000\);_(* "-"??_);_(@_)</c:formatCode>
                <c:ptCount val="10"/>
                <c:pt idx="0">
                  <c:v>4.2864000000000004</c:v>
                </c:pt>
                <c:pt idx="1">
                  <c:v>4.0949999999999998</c:v>
                </c:pt>
                <c:pt idx="2">
                  <c:v>4.0316999999999998</c:v>
                </c:pt>
                <c:pt idx="3">
                  <c:v>4.0457000000000001</c:v>
                </c:pt>
                <c:pt idx="4">
                  <c:v>4.0960999999999999</c:v>
                </c:pt>
                <c:pt idx="5">
                  <c:v>4.1833</c:v>
                </c:pt>
                <c:pt idx="6">
                  <c:v>4.2748999999999997</c:v>
                </c:pt>
                <c:pt idx="7">
                  <c:v>4.3425000000000002</c:v>
                </c:pt>
                <c:pt idx="8">
                  <c:v>4.3813000000000004</c:v>
                </c:pt>
                <c:pt idx="9">
                  <c:v>4.4222999999999999</c:v>
                </c:pt>
              </c:numCache>
            </c:numRef>
          </c:val>
          <c:smooth val="0"/>
          <c:extLst>
            <c:ext xmlns:c16="http://schemas.microsoft.com/office/drawing/2014/chart" uri="{C3380CC4-5D6E-409C-BE32-E72D297353CC}">
              <c16:uniqueId val="{00000001-940A-4435-B707-9074C3B43C29}"/>
            </c:ext>
          </c:extLst>
        </c:ser>
        <c:ser>
          <c:idx val="2"/>
          <c:order val="2"/>
          <c:tx>
            <c:strRef>
              <c:f>'Data Sheet'!$V$21</c:f>
              <c:strCache>
                <c:ptCount val="1"/>
                <c:pt idx="0">
                  <c:v>31 May 24</c:v>
                </c:pt>
              </c:strCache>
            </c:strRef>
          </c:tx>
          <c:spPr>
            <a:ln w="25400">
              <a:solidFill>
                <a:srgbClr val="FFFF00"/>
              </a:solidFill>
              <a:prstDash val="solid"/>
            </a:ln>
          </c:spPr>
          <c:marker>
            <c:symbol val="triangle"/>
            <c:size val="7"/>
            <c:spPr>
              <a:solidFill>
                <a:srgbClr val="FFFF00"/>
              </a:solidFill>
              <a:ln>
                <a:solidFill>
                  <a:srgbClr val="FFFF00"/>
                </a:solidFill>
                <a:prstDash val="solid"/>
              </a:ln>
            </c:spPr>
          </c:marker>
          <c:cat>
            <c:numRef>
              <c:f>'Data Sheet'!$S$22:$S$31</c:f>
              <c:numCache>
                <c:formatCode>General</c:formatCode>
                <c:ptCount val="10"/>
                <c:pt idx="0">
                  <c:v>9</c:v>
                </c:pt>
                <c:pt idx="1">
                  <c:v>8</c:v>
                </c:pt>
                <c:pt idx="2">
                  <c:v>7</c:v>
                </c:pt>
                <c:pt idx="3">
                  <c:v>6</c:v>
                </c:pt>
                <c:pt idx="4">
                  <c:v>5</c:v>
                </c:pt>
                <c:pt idx="5">
                  <c:v>4</c:v>
                </c:pt>
                <c:pt idx="6">
                  <c:v>3</c:v>
                </c:pt>
                <c:pt idx="7">
                  <c:v>2</c:v>
                </c:pt>
                <c:pt idx="8">
                  <c:v>1</c:v>
                </c:pt>
                <c:pt idx="9">
                  <c:v>0</c:v>
                </c:pt>
              </c:numCache>
            </c:numRef>
          </c:cat>
          <c:val>
            <c:numRef>
              <c:f>'Data Sheet'!$V$22:$V$31</c:f>
              <c:numCache>
                <c:formatCode>_(* #,##0.000_);_(* \(#,##0.000\);_(* "-"??_);_(@_)</c:formatCode>
                <c:ptCount val="10"/>
                <c:pt idx="0">
                  <c:v>4.3480999999999996</c:v>
                </c:pt>
                <c:pt idx="1">
                  <c:v>4.1208</c:v>
                </c:pt>
                <c:pt idx="2">
                  <c:v>4.0488</c:v>
                </c:pt>
                <c:pt idx="3">
                  <c:v>4.0495000000000001</c:v>
                </c:pt>
                <c:pt idx="4">
                  <c:v>4.0951000000000004</c:v>
                </c:pt>
                <c:pt idx="5">
                  <c:v>4.1741000000000001</c:v>
                </c:pt>
                <c:pt idx="6">
                  <c:v>4.2590000000000003</c:v>
                </c:pt>
                <c:pt idx="7">
                  <c:v>4.3304</c:v>
                </c:pt>
                <c:pt idx="8">
                  <c:v>4.3685</c:v>
                </c:pt>
                <c:pt idx="9">
                  <c:v>4.4062999999999999</c:v>
                </c:pt>
              </c:numCache>
            </c:numRef>
          </c:val>
          <c:smooth val="0"/>
          <c:extLst>
            <c:ext xmlns:c16="http://schemas.microsoft.com/office/drawing/2014/chart" uri="{C3380CC4-5D6E-409C-BE32-E72D297353CC}">
              <c16:uniqueId val="{00000002-940A-4435-B707-9074C3B43C29}"/>
            </c:ext>
          </c:extLst>
        </c:ser>
        <c:ser>
          <c:idx val="3"/>
          <c:order val="3"/>
          <c:tx>
            <c:strRef>
              <c:f>'Data Sheet'!$W$21</c:f>
              <c:strCache>
                <c:ptCount val="1"/>
                <c:pt idx="0">
                  <c:v>30 June 24</c:v>
                </c:pt>
              </c:strCache>
            </c:strRef>
          </c:tx>
          <c:spPr>
            <a:ln w="25400">
              <a:solidFill>
                <a:srgbClr val="FF0000"/>
              </a:solidFill>
              <a:prstDash val="solid"/>
            </a:ln>
          </c:spPr>
          <c:marker>
            <c:symbol val="x"/>
            <c:size val="7"/>
            <c:spPr>
              <a:solidFill>
                <a:srgbClr val="FF0000"/>
              </a:solidFill>
              <a:ln>
                <a:solidFill>
                  <a:srgbClr val="00FFFF"/>
                </a:solidFill>
                <a:prstDash val="solid"/>
              </a:ln>
            </c:spPr>
          </c:marker>
          <c:cat>
            <c:numRef>
              <c:f>'Data Sheet'!$S$22:$S$31</c:f>
              <c:numCache>
                <c:formatCode>General</c:formatCode>
                <c:ptCount val="10"/>
                <c:pt idx="0">
                  <c:v>9</c:v>
                </c:pt>
                <c:pt idx="1">
                  <c:v>8</c:v>
                </c:pt>
                <c:pt idx="2">
                  <c:v>7</c:v>
                </c:pt>
                <c:pt idx="3">
                  <c:v>6</c:v>
                </c:pt>
                <c:pt idx="4">
                  <c:v>5</c:v>
                </c:pt>
                <c:pt idx="5">
                  <c:v>4</c:v>
                </c:pt>
                <c:pt idx="6">
                  <c:v>3</c:v>
                </c:pt>
                <c:pt idx="7">
                  <c:v>2</c:v>
                </c:pt>
                <c:pt idx="8">
                  <c:v>1</c:v>
                </c:pt>
                <c:pt idx="9">
                  <c:v>0</c:v>
                </c:pt>
              </c:numCache>
            </c:numRef>
          </c:cat>
          <c:val>
            <c:numRef>
              <c:f>'Data Sheet'!$W$22:$W$31</c:f>
              <c:numCache>
                <c:formatCode>_(* #,##0.000_);_(* \(#,##0.000\);_(* "-"??_);_(@_)</c:formatCode>
                <c:ptCount val="10"/>
                <c:pt idx="0">
                  <c:v>4.4131</c:v>
                </c:pt>
                <c:pt idx="1">
                  <c:v>4.1574999999999998</c:v>
                </c:pt>
                <c:pt idx="2">
                  <c:v>4.0791000000000004</c:v>
                </c:pt>
                <c:pt idx="3">
                  <c:v>4.0551000000000004</c:v>
                </c:pt>
                <c:pt idx="4">
                  <c:v>4.07</c:v>
                </c:pt>
                <c:pt idx="5">
                  <c:v>4.1172000000000004</c:v>
                </c:pt>
                <c:pt idx="6">
                  <c:v>4.1788999999999996</c:v>
                </c:pt>
                <c:pt idx="7">
                  <c:v>4.2423999999999999</c:v>
                </c:pt>
                <c:pt idx="8">
                  <c:v>4.2774999999999999</c:v>
                </c:pt>
                <c:pt idx="9">
                  <c:v>4.3085000000000004</c:v>
                </c:pt>
              </c:numCache>
            </c:numRef>
          </c:val>
          <c:smooth val="0"/>
          <c:extLst>
            <c:ext xmlns:c16="http://schemas.microsoft.com/office/drawing/2014/chart" uri="{C3380CC4-5D6E-409C-BE32-E72D297353CC}">
              <c16:uniqueId val="{00000003-940A-4435-B707-9074C3B43C29}"/>
            </c:ext>
          </c:extLst>
        </c:ser>
        <c:ser>
          <c:idx val="4"/>
          <c:order val="4"/>
          <c:tx>
            <c:strRef>
              <c:f>'Data Sheet'!$X$21</c:f>
              <c:strCache>
                <c:ptCount val="1"/>
                <c:pt idx="0">
                  <c:v>31 Dec 24</c:v>
                </c:pt>
              </c:strCache>
            </c:strRef>
          </c:tx>
          <c:spPr>
            <a:ln w="25400">
              <a:solidFill>
                <a:srgbClr val="00B050"/>
              </a:solidFill>
              <a:prstDash val="solid"/>
            </a:ln>
          </c:spPr>
          <c:marker>
            <c:symbol val="star"/>
            <c:size val="6"/>
            <c:spPr>
              <a:solidFill>
                <a:srgbClr val="00B050"/>
              </a:solidFill>
              <a:ln>
                <a:solidFill>
                  <a:srgbClr val="FF0000"/>
                </a:solidFill>
                <a:prstDash val="solid"/>
              </a:ln>
            </c:spPr>
          </c:marker>
          <c:cat>
            <c:numRef>
              <c:f>'Data Sheet'!$S$22:$S$31</c:f>
              <c:numCache>
                <c:formatCode>General</c:formatCode>
                <c:ptCount val="10"/>
                <c:pt idx="0">
                  <c:v>9</c:v>
                </c:pt>
                <c:pt idx="1">
                  <c:v>8</c:v>
                </c:pt>
                <c:pt idx="2">
                  <c:v>7</c:v>
                </c:pt>
                <c:pt idx="3">
                  <c:v>6</c:v>
                </c:pt>
                <c:pt idx="4">
                  <c:v>5</c:v>
                </c:pt>
                <c:pt idx="5">
                  <c:v>4</c:v>
                </c:pt>
                <c:pt idx="6">
                  <c:v>3</c:v>
                </c:pt>
                <c:pt idx="7">
                  <c:v>2</c:v>
                </c:pt>
                <c:pt idx="8">
                  <c:v>1</c:v>
                </c:pt>
                <c:pt idx="9">
                  <c:v>0</c:v>
                </c:pt>
              </c:numCache>
            </c:numRef>
          </c:cat>
          <c:val>
            <c:numRef>
              <c:f>'Data Sheet'!$X$22:$X$31</c:f>
              <c:numCache>
                <c:formatCode>_(* #,##0.000_);_(* \(#,##0.000\);_(* "-"??_);_(@_)</c:formatCode>
                <c:ptCount val="10"/>
              </c:numCache>
            </c:numRef>
          </c:val>
          <c:smooth val="0"/>
          <c:extLst>
            <c:ext xmlns:c16="http://schemas.microsoft.com/office/drawing/2014/chart" uri="{C3380CC4-5D6E-409C-BE32-E72D297353CC}">
              <c16:uniqueId val="{00000004-940A-4435-B707-9074C3B43C29}"/>
            </c:ext>
          </c:extLst>
        </c:ser>
        <c:dLbls>
          <c:showLegendKey val="0"/>
          <c:showVal val="0"/>
          <c:showCatName val="0"/>
          <c:showSerName val="0"/>
          <c:showPercent val="0"/>
          <c:showBubbleSize val="0"/>
        </c:dLbls>
        <c:marker val="1"/>
        <c:smooth val="0"/>
        <c:axId val="587991920"/>
        <c:axId val="1"/>
      </c:lineChart>
      <c:catAx>
        <c:axId val="587991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Verdana"/>
                <a:ea typeface="Verdana"/>
                <a:cs typeface="Verdana"/>
              </a:defRPr>
            </a:pPr>
            <a:endParaRPr lang="en-US"/>
          </a:p>
        </c:txPr>
        <c:crossAx val="1"/>
        <c:crosses val="autoZero"/>
        <c:auto val="1"/>
        <c:lblAlgn val="ctr"/>
        <c:lblOffset val="100"/>
        <c:tickLblSkip val="1"/>
        <c:tickMarkSkip val="1"/>
        <c:noMultiLvlLbl val="0"/>
      </c:catAx>
      <c:valAx>
        <c:axId val="1"/>
        <c:scaling>
          <c:orientation val="minMax"/>
          <c:max val="4.5"/>
          <c:min val="3.5"/>
        </c:scaling>
        <c:delete val="0"/>
        <c:axPos val="l"/>
        <c:majorGridlines>
          <c:spPr>
            <a:ln w="3175">
              <a:solidFill>
                <a:srgbClr val="000000"/>
              </a:solidFill>
              <a:prstDash val="solid"/>
            </a:ln>
          </c:spPr>
        </c:majorGridlines>
        <c:numFmt formatCode="_(* #,##0.00_);_(* \(#,##0.00\);_(* &quot;-&quot;??_);_(@_)" sourceLinked="0"/>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Times New Roman"/>
                <a:ea typeface="Times New Roman"/>
                <a:cs typeface="Times New Roman"/>
              </a:defRPr>
            </a:pPr>
            <a:endParaRPr lang="en-US"/>
          </a:p>
        </c:txPr>
        <c:crossAx val="587991920"/>
        <c:crosses val="autoZero"/>
        <c:crossBetween val="between"/>
        <c:majorUnit val="0.1"/>
      </c:valAx>
      <c:spPr>
        <a:noFill/>
        <a:ln w="12700">
          <a:solidFill>
            <a:srgbClr val="808080"/>
          </a:solidFill>
          <a:prstDash val="solid"/>
        </a:ln>
      </c:spPr>
    </c:plotArea>
    <c:legend>
      <c:legendPos val="r"/>
      <c:legendEntry>
        <c:idx val="0"/>
        <c:txPr>
          <a:bodyPr/>
          <a:lstStyle/>
          <a:p>
            <a:pPr>
              <a:defRPr sz="755" b="1" i="0" u="none" strike="noStrike" baseline="0">
                <a:solidFill>
                  <a:srgbClr val="000000"/>
                </a:solidFill>
                <a:latin typeface="Times New Roman"/>
                <a:ea typeface="Times New Roman"/>
                <a:cs typeface="Times New Roman"/>
              </a:defRPr>
            </a:pPr>
            <a:endParaRPr lang="en-US"/>
          </a:p>
        </c:txPr>
      </c:legendEntry>
      <c:legendEntry>
        <c:idx val="1"/>
        <c:txPr>
          <a:bodyPr/>
          <a:lstStyle/>
          <a:p>
            <a:pPr>
              <a:defRPr sz="755" b="1" i="0" u="none" strike="noStrike" baseline="0">
                <a:solidFill>
                  <a:srgbClr val="000000"/>
                </a:solidFill>
                <a:latin typeface="Times New Roman"/>
                <a:ea typeface="Times New Roman"/>
                <a:cs typeface="Times New Roman"/>
              </a:defRPr>
            </a:pPr>
            <a:endParaRPr lang="en-US"/>
          </a:p>
        </c:txPr>
      </c:legendEntry>
      <c:legendEntry>
        <c:idx val="2"/>
        <c:txPr>
          <a:bodyPr/>
          <a:lstStyle/>
          <a:p>
            <a:pPr>
              <a:defRPr sz="755" b="1" i="0" u="none" strike="noStrike" baseline="0">
                <a:solidFill>
                  <a:srgbClr val="000000"/>
                </a:solidFill>
                <a:latin typeface="Times New Roman"/>
                <a:ea typeface="Times New Roman"/>
                <a:cs typeface="Times New Roman"/>
              </a:defRPr>
            </a:pPr>
            <a:endParaRPr lang="en-US"/>
          </a:p>
        </c:txPr>
      </c:legendEntry>
      <c:legendEntry>
        <c:idx val="3"/>
        <c:txPr>
          <a:bodyPr/>
          <a:lstStyle/>
          <a:p>
            <a:pPr>
              <a:defRPr sz="755" b="1" i="0" u="none" strike="noStrike" baseline="0">
                <a:solidFill>
                  <a:srgbClr val="000000"/>
                </a:solidFill>
                <a:latin typeface="Times New Roman"/>
                <a:ea typeface="Times New Roman"/>
                <a:cs typeface="Times New Roman"/>
              </a:defRPr>
            </a:pPr>
            <a:endParaRPr lang="en-US"/>
          </a:p>
        </c:txPr>
      </c:legendEntry>
      <c:legendEntry>
        <c:idx val="4"/>
        <c:txPr>
          <a:bodyPr/>
          <a:lstStyle/>
          <a:p>
            <a:pPr>
              <a:defRPr sz="755" b="1" i="0" u="none" strike="noStrike" baseline="0">
                <a:solidFill>
                  <a:srgbClr val="000000"/>
                </a:solidFill>
                <a:latin typeface="Times New Roman"/>
                <a:ea typeface="Times New Roman"/>
                <a:cs typeface="Times New Roman"/>
              </a:defRPr>
            </a:pPr>
            <a:endParaRPr lang="en-US"/>
          </a:p>
        </c:txPr>
      </c:legendEntry>
      <c:layout>
        <c:manualLayout>
          <c:xMode val="edge"/>
          <c:yMode val="edge"/>
          <c:x val="0.79389294749708639"/>
          <c:y val="0.10546922598530606"/>
          <c:w val="0.19274813572491167"/>
          <c:h val="0.73828247372692868"/>
        </c:manualLayout>
      </c:layout>
      <c:overlay val="0"/>
      <c:spPr>
        <a:solidFill>
          <a:srgbClr val="E3E3E3"/>
        </a:solidFill>
        <a:ln w="3175">
          <a:solidFill>
            <a:srgbClr val="000000"/>
          </a:solidFill>
          <a:prstDash val="solid"/>
        </a:ln>
      </c:spPr>
      <c:txPr>
        <a:bodyPr/>
        <a:lstStyle/>
        <a:p>
          <a:pPr>
            <a:defRPr sz="75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gradFill rotWithShape="0">
      <a:gsLst>
        <a:gs pos="0">
          <a:srgbClr val="8080FF"/>
        </a:gs>
        <a:gs pos="100000">
          <a:srgbClr val="69FFFF"/>
        </a:gs>
      </a:gsLst>
      <a:lin ang="2700000" scaled="1"/>
    </a:gradFill>
    <a:ln w="3175">
      <a:solidFill>
        <a:srgbClr val="000000"/>
      </a:solidFill>
      <a:prstDash val="solid"/>
    </a:ln>
  </c:spPr>
  <c:txPr>
    <a:bodyPr/>
    <a:lstStyle/>
    <a:p>
      <a:pPr>
        <a:defRPr sz="875" b="0" i="0" u="none" strike="noStrike" baseline="0">
          <a:solidFill>
            <a:srgbClr val="000000"/>
          </a:solidFill>
          <a:latin typeface="Verdana"/>
          <a:ea typeface="Verdana"/>
          <a:cs typeface="Verdana"/>
        </a:defRPr>
      </a:pPr>
      <a:endParaRPr lang="en-US"/>
    </a:p>
  </c:txPr>
  <c:printSettings>
    <c:headerFooter alignWithMargins="0"/>
    <c:pageMargins b="1" l="0.75000000000000044" r="0.75000000000000044"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1" i="0" u="none" strike="noStrike" baseline="0">
                <a:solidFill>
                  <a:srgbClr val="FFFF00"/>
                </a:solidFill>
                <a:latin typeface="Times New Roman"/>
                <a:ea typeface="Times New Roman"/>
                <a:cs typeface="Times New Roman"/>
              </a:defRPr>
            </a:pPr>
            <a:r>
              <a:rPr lang="en-AU"/>
              <a:t>Employee History Profile</a:t>
            </a:r>
          </a:p>
        </c:rich>
      </c:tx>
      <c:layout>
        <c:manualLayout>
          <c:xMode val="edge"/>
          <c:yMode val="edge"/>
          <c:x val="0.29438237052051663"/>
          <c:y val="5.3872289936360694E-2"/>
        </c:manualLayout>
      </c:layout>
      <c:overlay val="0"/>
      <c:spPr>
        <a:noFill/>
        <a:ln w="25400">
          <a:noFill/>
        </a:ln>
      </c:spPr>
    </c:title>
    <c:autoTitleDeleted val="0"/>
    <c:plotArea>
      <c:layout>
        <c:manualLayout>
          <c:layoutTarget val="inner"/>
          <c:xMode val="edge"/>
          <c:yMode val="edge"/>
          <c:x val="3.3707902154913705E-2"/>
          <c:y val="0.24579205397745021"/>
          <c:w val="0.81123684519492323"/>
          <c:h val="0.60942961328655465"/>
        </c:manualLayout>
      </c:layout>
      <c:barChart>
        <c:barDir val="col"/>
        <c:grouping val="clustered"/>
        <c:varyColors val="0"/>
        <c:ser>
          <c:idx val="0"/>
          <c:order val="0"/>
          <c:tx>
            <c:strRef>
              <c:f>'Data Sheet'!$C$18:$C$19</c:f>
              <c:strCache>
                <c:ptCount val="2"/>
                <c:pt idx="0">
                  <c:v>30 April 2024</c:v>
                </c:pt>
              </c:strCache>
            </c:strRef>
          </c:tx>
          <c:spPr>
            <a:solidFill>
              <a:srgbClr val="FF0000"/>
            </a:solidFill>
            <a:ln w="12700">
              <a:solidFill>
                <a:srgbClr val="000000"/>
              </a:solidFill>
              <a:prstDash val="solid"/>
            </a:ln>
          </c:spPr>
          <c:invertIfNegative val="0"/>
          <c:cat>
            <c:strRef>
              <c:f>'Data Sheet'!$B$20:$B$31</c:f>
              <c:strCache>
                <c:ptCount val="12"/>
                <c:pt idx="0">
                  <c:v>&gt;10</c:v>
                </c:pt>
                <c:pt idx="1">
                  <c:v>10</c:v>
                </c:pt>
                <c:pt idx="2">
                  <c:v>9</c:v>
                </c:pt>
                <c:pt idx="3">
                  <c:v>8</c:v>
                </c:pt>
                <c:pt idx="4">
                  <c:v>7</c:v>
                </c:pt>
                <c:pt idx="5">
                  <c:v>6</c:v>
                </c:pt>
                <c:pt idx="6">
                  <c:v>5</c:v>
                </c:pt>
                <c:pt idx="7">
                  <c:v>4</c:v>
                </c:pt>
                <c:pt idx="8">
                  <c:v>3</c:v>
                </c:pt>
                <c:pt idx="9">
                  <c:v>2</c:v>
                </c:pt>
                <c:pt idx="10">
                  <c:v>1</c:v>
                </c:pt>
                <c:pt idx="11">
                  <c:v>0</c:v>
                </c:pt>
              </c:strCache>
            </c:strRef>
          </c:cat>
          <c:val>
            <c:numRef>
              <c:f>'Data Sheet'!$C$20:$C$31</c:f>
              <c:numCache>
                <c:formatCode>_(* #,##0_);_(* \(#,##0\);_(* "-"??_);_(@_)</c:formatCode>
                <c:ptCount val="12"/>
                <c:pt idx="0">
                  <c:v>63</c:v>
                </c:pt>
                <c:pt idx="1">
                  <c:v>4</c:v>
                </c:pt>
                <c:pt idx="2">
                  <c:v>6</c:v>
                </c:pt>
                <c:pt idx="3">
                  <c:v>7</c:v>
                </c:pt>
                <c:pt idx="4">
                  <c:v>5</c:v>
                </c:pt>
                <c:pt idx="5">
                  <c:v>10</c:v>
                </c:pt>
                <c:pt idx="6">
                  <c:v>11</c:v>
                </c:pt>
                <c:pt idx="7">
                  <c:v>20</c:v>
                </c:pt>
                <c:pt idx="8">
                  <c:v>22</c:v>
                </c:pt>
                <c:pt idx="9">
                  <c:v>15</c:v>
                </c:pt>
                <c:pt idx="10">
                  <c:v>25</c:v>
                </c:pt>
                <c:pt idx="11">
                  <c:v>26</c:v>
                </c:pt>
              </c:numCache>
            </c:numRef>
          </c:val>
          <c:extLst>
            <c:ext xmlns:c16="http://schemas.microsoft.com/office/drawing/2014/chart" uri="{C3380CC4-5D6E-409C-BE32-E72D297353CC}">
              <c16:uniqueId val="{00000000-604D-44F4-97B0-17A3DA15C0F3}"/>
            </c:ext>
          </c:extLst>
        </c:ser>
        <c:ser>
          <c:idx val="7"/>
          <c:order val="1"/>
          <c:tx>
            <c:strRef>
              <c:f>'Data Sheet'!$J$18:$J$19</c:f>
              <c:strCache>
                <c:ptCount val="2"/>
                <c:pt idx="0">
                  <c:v>30 April 2023</c:v>
                </c:pt>
              </c:strCache>
            </c:strRef>
          </c:tx>
          <c:spPr>
            <a:solidFill>
              <a:srgbClr val="00FF00"/>
            </a:solidFill>
            <a:ln w="12700">
              <a:solidFill>
                <a:srgbClr val="00FF00"/>
              </a:solidFill>
              <a:prstDash val="solid"/>
            </a:ln>
          </c:spPr>
          <c:invertIfNegative val="0"/>
          <c:cat>
            <c:strRef>
              <c:f>'Data Sheet'!$B$20:$B$31</c:f>
              <c:strCache>
                <c:ptCount val="12"/>
                <c:pt idx="0">
                  <c:v>&gt;10</c:v>
                </c:pt>
                <c:pt idx="1">
                  <c:v>10</c:v>
                </c:pt>
                <c:pt idx="2">
                  <c:v>9</c:v>
                </c:pt>
                <c:pt idx="3">
                  <c:v>8</c:v>
                </c:pt>
                <c:pt idx="4">
                  <c:v>7</c:v>
                </c:pt>
                <c:pt idx="5">
                  <c:v>6</c:v>
                </c:pt>
                <c:pt idx="6">
                  <c:v>5</c:v>
                </c:pt>
                <c:pt idx="7">
                  <c:v>4</c:v>
                </c:pt>
                <c:pt idx="8">
                  <c:v>3</c:v>
                </c:pt>
                <c:pt idx="9">
                  <c:v>2</c:v>
                </c:pt>
                <c:pt idx="10">
                  <c:v>1</c:v>
                </c:pt>
                <c:pt idx="11">
                  <c:v>0</c:v>
                </c:pt>
              </c:strCache>
            </c:strRef>
          </c:cat>
          <c:val>
            <c:numRef>
              <c:f>'Data Sheet'!$J$20:$J$31</c:f>
              <c:numCache>
                <c:formatCode>_(* #,##0_);_(* \(#,##0\);_(* "-"??_);_(@_)</c:formatCode>
                <c:ptCount val="12"/>
                <c:pt idx="0">
                  <c:v>56</c:v>
                </c:pt>
                <c:pt idx="1">
                  <c:v>4</c:v>
                </c:pt>
                <c:pt idx="2">
                  <c:v>5</c:v>
                </c:pt>
                <c:pt idx="3">
                  <c:v>6</c:v>
                </c:pt>
                <c:pt idx="4">
                  <c:v>8</c:v>
                </c:pt>
                <c:pt idx="5">
                  <c:v>5</c:v>
                </c:pt>
                <c:pt idx="6">
                  <c:v>12</c:v>
                </c:pt>
                <c:pt idx="7">
                  <c:v>12</c:v>
                </c:pt>
                <c:pt idx="8">
                  <c:v>21</c:v>
                </c:pt>
                <c:pt idx="9">
                  <c:v>29</c:v>
                </c:pt>
                <c:pt idx="10">
                  <c:v>17</c:v>
                </c:pt>
                <c:pt idx="11">
                  <c:v>33</c:v>
                </c:pt>
              </c:numCache>
            </c:numRef>
          </c:val>
          <c:extLst>
            <c:ext xmlns:c16="http://schemas.microsoft.com/office/drawing/2014/chart" uri="{C3380CC4-5D6E-409C-BE32-E72D297353CC}">
              <c16:uniqueId val="{00000001-604D-44F4-97B0-17A3DA15C0F3}"/>
            </c:ext>
          </c:extLst>
        </c:ser>
        <c:ser>
          <c:idx val="9"/>
          <c:order val="2"/>
          <c:tx>
            <c:strRef>
              <c:f>'Data Sheet'!$L$18:$L$19</c:f>
              <c:strCache>
                <c:ptCount val="2"/>
                <c:pt idx="0">
                  <c:v>30 April 2022</c:v>
                </c:pt>
              </c:strCache>
            </c:strRef>
          </c:tx>
          <c:spPr>
            <a:solidFill>
              <a:srgbClr val="0000FF"/>
            </a:solidFill>
            <a:ln w="12700">
              <a:solidFill>
                <a:srgbClr val="0000FF"/>
              </a:solidFill>
              <a:prstDash val="solid"/>
            </a:ln>
          </c:spPr>
          <c:invertIfNegative val="0"/>
          <c:cat>
            <c:strRef>
              <c:f>'Data Sheet'!$B$20:$B$31</c:f>
              <c:strCache>
                <c:ptCount val="12"/>
                <c:pt idx="0">
                  <c:v>&gt;10</c:v>
                </c:pt>
                <c:pt idx="1">
                  <c:v>10</c:v>
                </c:pt>
                <c:pt idx="2">
                  <c:v>9</c:v>
                </c:pt>
                <c:pt idx="3">
                  <c:v>8</c:v>
                </c:pt>
                <c:pt idx="4">
                  <c:v>7</c:v>
                </c:pt>
                <c:pt idx="5">
                  <c:v>6</c:v>
                </c:pt>
                <c:pt idx="6">
                  <c:v>5</c:v>
                </c:pt>
                <c:pt idx="7">
                  <c:v>4</c:v>
                </c:pt>
                <c:pt idx="8">
                  <c:v>3</c:v>
                </c:pt>
                <c:pt idx="9">
                  <c:v>2</c:v>
                </c:pt>
                <c:pt idx="10">
                  <c:v>1</c:v>
                </c:pt>
                <c:pt idx="11">
                  <c:v>0</c:v>
                </c:pt>
              </c:strCache>
            </c:strRef>
          </c:cat>
          <c:val>
            <c:numRef>
              <c:f>'Data Sheet'!$L$20:$L$31</c:f>
              <c:numCache>
                <c:formatCode>_(* #,##0_);_(* \(#,##0\);_(* "-"??_);_(@_)</c:formatCode>
                <c:ptCount val="12"/>
                <c:pt idx="0">
                  <c:v>52</c:v>
                </c:pt>
                <c:pt idx="1">
                  <c:v>4</c:v>
                </c:pt>
                <c:pt idx="2">
                  <c:v>4</c:v>
                </c:pt>
                <c:pt idx="3">
                  <c:v>6</c:v>
                </c:pt>
                <c:pt idx="4">
                  <c:v>6</c:v>
                </c:pt>
                <c:pt idx="5">
                  <c:v>8</c:v>
                </c:pt>
                <c:pt idx="6">
                  <c:v>5</c:v>
                </c:pt>
                <c:pt idx="7">
                  <c:v>14</c:v>
                </c:pt>
                <c:pt idx="8">
                  <c:v>17</c:v>
                </c:pt>
                <c:pt idx="9">
                  <c:v>27</c:v>
                </c:pt>
                <c:pt idx="10">
                  <c:v>39</c:v>
                </c:pt>
                <c:pt idx="11">
                  <c:v>25</c:v>
                </c:pt>
              </c:numCache>
            </c:numRef>
          </c:val>
          <c:extLst>
            <c:ext xmlns:c16="http://schemas.microsoft.com/office/drawing/2014/chart" uri="{C3380CC4-5D6E-409C-BE32-E72D297353CC}">
              <c16:uniqueId val="{00000002-604D-44F4-97B0-17A3DA15C0F3}"/>
            </c:ext>
          </c:extLst>
        </c:ser>
        <c:dLbls>
          <c:showLegendKey val="0"/>
          <c:showVal val="0"/>
          <c:showCatName val="0"/>
          <c:showSerName val="0"/>
          <c:showPercent val="0"/>
          <c:showBubbleSize val="0"/>
        </c:dLbls>
        <c:gapWidth val="70"/>
        <c:axId val="587994216"/>
        <c:axId val="1"/>
      </c:barChart>
      <c:catAx>
        <c:axId val="587994216"/>
        <c:scaling>
          <c:orientation val="maxMin"/>
        </c:scaling>
        <c:delete val="0"/>
        <c:axPos val="b"/>
        <c:title>
          <c:tx>
            <c:rich>
              <a:bodyPr/>
              <a:lstStyle/>
              <a:p>
                <a:pPr>
                  <a:defRPr sz="1025" b="1" i="0" u="none" strike="noStrike" baseline="0">
                    <a:solidFill>
                      <a:srgbClr val="000000"/>
                    </a:solidFill>
                    <a:latin typeface="Times New Roman"/>
                    <a:ea typeface="Times New Roman"/>
                    <a:cs typeface="Times New Roman"/>
                  </a:defRPr>
                </a:pPr>
                <a:r>
                  <a:rPr lang="en-AU"/>
                  <a:t>Years of Service</a:t>
                </a:r>
              </a:p>
            </c:rich>
          </c:tx>
          <c:layout>
            <c:manualLayout>
              <c:xMode val="edge"/>
              <c:yMode val="edge"/>
              <c:x val="0.32735656557781762"/>
              <c:y val="0.914914967820803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Verdana"/>
                <a:ea typeface="Verdana"/>
                <a:cs typeface="Verdana"/>
              </a:defRPr>
            </a:pPr>
            <a:endParaRPr lang="en-U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solid"/>
            </a:ln>
          </c:spPr>
        </c:majorGridlines>
        <c:title>
          <c:tx>
            <c:rich>
              <a:bodyPr/>
              <a:lstStyle/>
              <a:p>
                <a:pPr>
                  <a:defRPr sz="1025" b="1" i="0" u="none" strike="noStrike" baseline="0">
                    <a:solidFill>
                      <a:srgbClr val="000000"/>
                    </a:solidFill>
                    <a:latin typeface="Times New Roman"/>
                    <a:ea typeface="Times New Roman"/>
                    <a:cs typeface="Times New Roman"/>
                  </a:defRPr>
                </a:pPr>
                <a:r>
                  <a:rPr lang="en-AU"/>
                  <a:t>Number of Employees</a:t>
                </a:r>
              </a:p>
            </c:rich>
          </c:tx>
          <c:layout>
            <c:manualLayout>
              <c:xMode val="edge"/>
              <c:yMode val="edge"/>
              <c:x val="0.93707938982874661"/>
              <c:y val="0.30639844676949624"/>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Verdana"/>
                <a:ea typeface="Verdana"/>
                <a:cs typeface="Verdana"/>
              </a:defRPr>
            </a:pPr>
            <a:endParaRPr lang="en-US"/>
          </a:p>
        </c:txPr>
        <c:crossAx val="587994216"/>
        <c:crosses val="autoZero"/>
        <c:crossBetween val="between"/>
      </c:valAx>
      <c:spPr>
        <a:noFill/>
        <a:ln w="25400">
          <a:noFill/>
        </a:ln>
      </c:spPr>
    </c:plotArea>
    <c:legend>
      <c:legendPos val="r"/>
      <c:legendEntry>
        <c:idx val="0"/>
        <c:txPr>
          <a:bodyPr/>
          <a:lstStyle/>
          <a:p>
            <a:pPr>
              <a:defRPr sz="620" b="1" i="0" u="none" strike="noStrike" baseline="0">
                <a:solidFill>
                  <a:srgbClr val="000000"/>
                </a:solidFill>
                <a:latin typeface="Verdana"/>
                <a:ea typeface="Verdana"/>
                <a:cs typeface="Verdana"/>
              </a:defRPr>
            </a:pPr>
            <a:endParaRPr lang="en-US"/>
          </a:p>
        </c:txPr>
      </c:legendEntry>
      <c:legendEntry>
        <c:idx val="1"/>
        <c:txPr>
          <a:bodyPr/>
          <a:lstStyle/>
          <a:p>
            <a:pPr>
              <a:defRPr sz="620" b="1" i="0" u="none" strike="noStrike" baseline="0">
                <a:solidFill>
                  <a:srgbClr val="000000"/>
                </a:solidFill>
                <a:latin typeface="Verdana"/>
                <a:ea typeface="Verdana"/>
                <a:cs typeface="Verdana"/>
              </a:defRPr>
            </a:pPr>
            <a:endParaRPr lang="en-US"/>
          </a:p>
        </c:txPr>
      </c:legendEntry>
      <c:legendEntry>
        <c:idx val="2"/>
        <c:txPr>
          <a:bodyPr/>
          <a:lstStyle/>
          <a:p>
            <a:pPr>
              <a:defRPr sz="620" b="1" i="0" u="none" strike="noStrike" baseline="0">
                <a:solidFill>
                  <a:srgbClr val="000000"/>
                </a:solidFill>
                <a:latin typeface="Verdana"/>
                <a:ea typeface="Verdana"/>
                <a:cs typeface="Verdana"/>
              </a:defRPr>
            </a:pPr>
            <a:endParaRPr lang="en-US"/>
          </a:p>
        </c:txPr>
      </c:legendEntry>
      <c:layout>
        <c:manualLayout>
          <c:xMode val="edge"/>
          <c:yMode val="edge"/>
          <c:x val="1.1160832618694942E-2"/>
          <c:y val="1.7667637435731492E-2"/>
          <c:w val="0.27008944673994956"/>
          <c:h val="0.28268615395678276"/>
        </c:manualLayout>
      </c:layout>
      <c:overlay val="0"/>
      <c:spPr>
        <a:solidFill>
          <a:srgbClr val="E3E3E3"/>
        </a:solidFill>
        <a:ln w="3175">
          <a:solidFill>
            <a:srgbClr val="000000"/>
          </a:solidFill>
          <a:prstDash val="solid"/>
        </a:ln>
      </c:spPr>
      <c:txPr>
        <a:bodyPr/>
        <a:lstStyle/>
        <a:p>
          <a:pPr>
            <a:defRPr sz="620" b="0" i="0" u="none" strike="noStrike" baseline="0">
              <a:solidFill>
                <a:srgbClr val="000000"/>
              </a:solidFill>
              <a:latin typeface="Verdana"/>
              <a:ea typeface="Verdana"/>
              <a:cs typeface="Verdana"/>
            </a:defRPr>
          </a:pPr>
          <a:endParaRPr lang="en-US"/>
        </a:p>
      </c:txPr>
    </c:legend>
    <c:plotVisOnly val="1"/>
    <c:dispBlanksAs val="gap"/>
    <c:showDLblsOverMax val="0"/>
  </c:chart>
  <c:spPr>
    <a:gradFill rotWithShape="0">
      <a:gsLst>
        <a:gs pos="0">
          <a:srgbClr val="3366FF"/>
        </a:gs>
        <a:gs pos="100000">
          <a:srgbClr val="69FFFF"/>
        </a:gs>
      </a:gsLst>
      <a:lin ang="2700000" scaled="1"/>
    </a:gradFill>
    <a:ln w="3175">
      <a:solidFill>
        <a:srgbClr val="000000"/>
      </a:solidFill>
      <a:prstDash val="solid"/>
    </a:ln>
    <a:scene3d>
      <a:camera prst="orthographicFront"/>
      <a:lightRig rig="threePt" dir="t"/>
    </a:scene3d>
    <a:sp3d>
      <a:bevelT w="12700"/>
    </a:sp3d>
  </c:spPr>
  <c:txPr>
    <a:bodyPr/>
    <a:lstStyle/>
    <a:p>
      <a:pPr>
        <a:defRPr sz="825" b="0" i="0" u="none" strike="noStrike" baseline="0">
          <a:solidFill>
            <a:srgbClr val="000000"/>
          </a:solidFill>
          <a:latin typeface="Verdana"/>
          <a:ea typeface="Verdana"/>
          <a:cs typeface="Verdana"/>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www.sro.tas.gov.au/payroll-tax/rates-thresholds" TargetMode="External"/><Relationship Id="rId5" Type="http://schemas.openxmlformats.org/officeDocument/2006/relationships/image" Target="../media/image4.png"/><Relationship Id="rId4"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57150</xdr:colOff>
      <xdr:row>76</xdr:row>
      <xdr:rowOff>47625</xdr:rowOff>
    </xdr:from>
    <xdr:to>
      <xdr:col>16</xdr:col>
      <xdr:colOff>0</xdr:colOff>
      <xdr:row>77</xdr:row>
      <xdr:rowOff>85725</xdr:rowOff>
    </xdr:to>
    <xdr:sp macro="" textlink="">
      <xdr:nvSpPr>
        <xdr:cNvPr id="656438" name="Line 1">
          <a:extLst>
            <a:ext uri="{FF2B5EF4-FFF2-40B4-BE49-F238E27FC236}">
              <a16:creationId xmlns:a16="http://schemas.microsoft.com/office/drawing/2014/main" id="{00000000-0008-0000-0000-000036040A00}"/>
            </a:ext>
          </a:extLst>
        </xdr:cNvPr>
        <xdr:cNvSpPr>
          <a:spLocks noChangeShapeType="1"/>
        </xdr:cNvSpPr>
      </xdr:nvSpPr>
      <xdr:spPr bwMode="auto">
        <a:xfrm flipV="1">
          <a:off x="5876925" y="13611225"/>
          <a:ext cx="161925" cy="2095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142875</xdr:colOff>
      <xdr:row>18</xdr:row>
      <xdr:rowOff>28575</xdr:rowOff>
    </xdr:from>
    <xdr:to>
      <xdr:col>34</xdr:col>
      <xdr:colOff>247650</xdr:colOff>
      <xdr:row>33</xdr:row>
      <xdr:rowOff>19050</xdr:rowOff>
    </xdr:to>
    <xdr:graphicFrame macro="">
      <xdr:nvGraphicFramePr>
        <xdr:cNvPr id="656439" name="Chart 8">
          <a:extLst>
            <a:ext uri="{FF2B5EF4-FFF2-40B4-BE49-F238E27FC236}">
              <a16:creationId xmlns:a16="http://schemas.microsoft.com/office/drawing/2014/main" id="{00000000-0008-0000-0000-00003704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20</xdr:col>
          <xdr:colOff>190500</xdr:colOff>
          <xdr:row>48</xdr:row>
          <xdr:rowOff>142875</xdr:rowOff>
        </xdr:from>
        <xdr:to>
          <xdr:col>25</xdr:col>
          <xdr:colOff>276225</xdr:colOff>
          <xdr:row>53</xdr:row>
          <xdr:rowOff>0</xdr:rowOff>
        </xdr:to>
        <xdr:sp macro="" textlink="">
          <xdr:nvSpPr>
            <xdr:cNvPr id="6150" name="Object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666750</xdr:colOff>
      <xdr:row>18</xdr:row>
      <xdr:rowOff>85725</xdr:rowOff>
    </xdr:from>
    <xdr:to>
      <xdr:col>19</xdr:col>
      <xdr:colOff>171450</xdr:colOff>
      <xdr:row>18</xdr:row>
      <xdr:rowOff>85725</xdr:rowOff>
    </xdr:to>
    <xdr:sp macro="" textlink="">
      <xdr:nvSpPr>
        <xdr:cNvPr id="656440" name="Line 25">
          <a:extLst>
            <a:ext uri="{FF2B5EF4-FFF2-40B4-BE49-F238E27FC236}">
              <a16:creationId xmlns:a16="http://schemas.microsoft.com/office/drawing/2014/main" id="{00000000-0008-0000-0000-000038040A00}"/>
            </a:ext>
          </a:extLst>
        </xdr:cNvPr>
        <xdr:cNvSpPr>
          <a:spLocks noChangeShapeType="1"/>
        </xdr:cNvSpPr>
      </xdr:nvSpPr>
      <xdr:spPr bwMode="auto">
        <a:xfrm flipH="1">
          <a:off x="3238500" y="3524250"/>
          <a:ext cx="3409950" cy="0"/>
        </a:xfrm>
        <a:prstGeom prst="line">
          <a:avLst/>
        </a:prstGeom>
        <a:noFill/>
        <a:ln w="9525">
          <a:solidFill>
            <a:srgbClr val="FF0000"/>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20</xdr:col>
      <xdr:colOff>66675</xdr:colOff>
      <xdr:row>36</xdr:row>
      <xdr:rowOff>9525</xdr:rowOff>
    </xdr:from>
    <xdr:to>
      <xdr:col>28</xdr:col>
      <xdr:colOff>333375</xdr:colOff>
      <xdr:row>49</xdr:row>
      <xdr:rowOff>38100</xdr:rowOff>
    </xdr:to>
    <xdr:graphicFrame macro="">
      <xdr:nvGraphicFramePr>
        <xdr:cNvPr id="656441" name="Chart 27">
          <a:extLst>
            <a:ext uri="{FF2B5EF4-FFF2-40B4-BE49-F238E27FC236}">
              <a16:creationId xmlns:a16="http://schemas.microsoft.com/office/drawing/2014/main" id="{00000000-0008-0000-0000-00003904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104775</xdr:colOff>
      <xdr:row>0</xdr:row>
      <xdr:rowOff>0</xdr:rowOff>
    </xdr:from>
    <xdr:to>
      <xdr:col>17</xdr:col>
      <xdr:colOff>114300</xdr:colOff>
      <xdr:row>5</xdr:row>
      <xdr:rowOff>91440</xdr:rowOff>
    </xdr:to>
    <xdr:pic>
      <xdr:nvPicPr>
        <xdr:cNvPr id="656442" name="Picture 6">
          <a:extLst>
            <a:ext uri="{FF2B5EF4-FFF2-40B4-BE49-F238E27FC236}">
              <a16:creationId xmlns:a16="http://schemas.microsoft.com/office/drawing/2014/main" id="{00000000-0008-0000-0000-00003A040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9525" y="0"/>
          <a:ext cx="2524125"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73398</xdr:colOff>
      <xdr:row>0</xdr:row>
      <xdr:rowOff>398540</xdr:rowOff>
    </xdr:from>
    <xdr:to>
      <xdr:col>32</xdr:col>
      <xdr:colOff>3209</xdr:colOff>
      <xdr:row>2</xdr:row>
      <xdr:rowOff>22315</xdr:rowOff>
    </xdr:to>
    <xdr:pic>
      <xdr:nvPicPr>
        <xdr:cNvPr id="11" name="Picture 10" descr="C:\Program Files (x86)\Microsoft Office 2010\MEDIA\OFFICE14\Lines\BD14538_.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27986" y="398540"/>
          <a:ext cx="7220358" cy="200206"/>
        </a:xfrm>
        <a:prstGeom prst="rect">
          <a:avLst/>
        </a:prstGeom>
        <a:noFill/>
        <a:effectLst>
          <a:softEdge rad="0"/>
        </a:effectLst>
        <a:scene3d>
          <a:camera prst="orthographicFront"/>
          <a:lightRig rig="threePt" dir="t"/>
        </a:scene3d>
        <a:sp3d>
          <a:bevelT/>
        </a:sp3d>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523875</xdr:colOff>
      <xdr:row>45</xdr:row>
      <xdr:rowOff>114300</xdr:rowOff>
    </xdr:from>
    <xdr:to>
      <xdr:col>12</xdr:col>
      <xdr:colOff>15240</xdr:colOff>
      <xdr:row>51</xdr:row>
      <xdr:rowOff>129540</xdr:rowOff>
    </xdr:to>
    <xdr:pic>
      <xdr:nvPicPr>
        <xdr:cNvPr id="656444" name="Picture 2">
          <a:extLst>
            <a:ext uri="{FF2B5EF4-FFF2-40B4-BE49-F238E27FC236}">
              <a16:creationId xmlns:a16="http://schemas.microsoft.com/office/drawing/2014/main" id="{00000000-0008-0000-0000-00003C040A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238625" y="8534400"/>
          <a:ext cx="990600" cy="990600"/>
        </a:xfrm>
        <a:prstGeom prst="rect">
          <a:avLst/>
        </a:prstGeom>
        <a:solidFill>
          <a:srgbClr val="FF0000"/>
        </a:solidFill>
        <a:ln w="9525">
          <a:solidFill>
            <a:srgbClr val="FF0000"/>
          </a:solidFill>
          <a:miter lim="800000"/>
          <a:headEnd/>
          <a:tailEnd/>
        </a:ln>
      </xdr:spPr>
    </xdr:pic>
    <xdr:clientData/>
  </xdr:twoCellAnchor>
  <xdr:twoCellAnchor>
    <xdr:from>
      <xdr:col>9</xdr:col>
      <xdr:colOff>582706</xdr:colOff>
      <xdr:row>180</xdr:row>
      <xdr:rowOff>56030</xdr:rowOff>
    </xdr:from>
    <xdr:to>
      <xdr:col>15</xdr:col>
      <xdr:colOff>56030</xdr:colOff>
      <xdr:row>182</xdr:row>
      <xdr:rowOff>78441</xdr:rowOff>
    </xdr:to>
    <xdr:sp macro="" textlink="">
      <xdr:nvSpPr>
        <xdr:cNvPr id="6" name="Rounded Rectangle 5">
          <a:hlinkClick xmlns:r="http://schemas.openxmlformats.org/officeDocument/2006/relationships" r:id="rId6"/>
          <a:extLst>
            <a:ext uri="{FF2B5EF4-FFF2-40B4-BE49-F238E27FC236}">
              <a16:creationId xmlns:a16="http://schemas.microsoft.com/office/drawing/2014/main" id="{00000000-0008-0000-0000-000006000000}"/>
            </a:ext>
          </a:extLst>
        </xdr:cNvPr>
        <xdr:cNvSpPr/>
      </xdr:nvSpPr>
      <xdr:spPr bwMode="auto">
        <a:xfrm>
          <a:off x="4258235" y="33942618"/>
          <a:ext cx="1568824" cy="336176"/>
        </a:xfrm>
        <a:prstGeom prst="roundRect">
          <a:avLst>
            <a:gd name="adj" fmla="val 33333"/>
          </a:avLst>
        </a:prstGeom>
        <a:solidFill>
          <a:srgbClr val="2D7A8F"/>
        </a:solidFill>
        <a:ln w="9525" cap="flat" cmpd="sng" algn="ctr">
          <a:solidFill>
            <a:srgbClr val="000000"/>
          </a:solidFill>
          <a:prstDash val="solid"/>
          <a:round/>
          <a:headEnd type="none" w="med" len="med"/>
          <a:tailEnd type="none" w="med" len="med"/>
        </a:ln>
        <a:effectLst/>
        <a:scene3d>
          <a:camera prst="orthographicFront"/>
          <a:lightRig rig="threePt" dir="t"/>
        </a:scene3d>
        <a:sp3d extrusionH="133350" contourW="12700">
          <a:bevelT h="88900"/>
          <a:bevelB w="107950"/>
          <a:extrusionClr>
            <a:schemeClr val="tx2">
              <a:lumMod val="60000"/>
              <a:lumOff val="40000"/>
            </a:schemeClr>
          </a:extrusionClr>
        </a:sp3d>
      </xdr:spPr>
      <xdr:txBody>
        <a:bodyPr vertOverflow="clip" horzOverflow="clip" wrap="square" lIns="18288" tIns="0" rIns="0" bIns="0" rtlCol="0" anchor="ctr" upright="1"/>
        <a:lstStyle/>
        <a:p>
          <a:pPr algn="ctr"/>
          <a:r>
            <a:rPr lang="en-AU" sz="1600" b="0">
              <a:solidFill>
                <a:schemeClr val="bg1"/>
              </a:solidFill>
            </a:rPr>
            <a:t>Payroll Tax (SRO)</a:t>
          </a:r>
        </a:p>
      </xdr:txBody>
    </xdr:sp>
    <xdr:clientData/>
  </xdr:twoCellAnchor>
  <xdr:twoCellAnchor>
    <xdr:from>
      <xdr:col>4</xdr:col>
      <xdr:colOff>348101</xdr:colOff>
      <xdr:row>46</xdr:row>
      <xdr:rowOff>125776</xdr:rowOff>
    </xdr:from>
    <xdr:to>
      <xdr:col>8</xdr:col>
      <xdr:colOff>116268</xdr:colOff>
      <xdr:row>50</xdr:row>
      <xdr:rowOff>137314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rot="20675304">
          <a:off x="2415026" y="8707801"/>
          <a:ext cx="1292167" cy="659238"/>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rgbClr val="FF0000"/>
              </a:solidFill>
              <a:latin typeface="Century Schoolbook" panose="02040604050505020304" pitchFamily="18" charset="0"/>
            </a:rPr>
            <a:t>SGL is Now 11.5</a:t>
          </a:r>
          <a:r>
            <a:rPr lang="en-AU" sz="1400" baseline="0">
              <a:solidFill>
                <a:srgbClr val="FF0000"/>
              </a:solidFill>
              <a:latin typeface="Century Schoolbook" panose="02040604050505020304" pitchFamily="18" charset="0"/>
            </a:rPr>
            <a:t> </a:t>
          </a:r>
          <a:r>
            <a:rPr lang="en-AU" sz="1400">
              <a:solidFill>
                <a:srgbClr val="FF0000"/>
              </a:solidFill>
              <a:latin typeface="Century Schoolbook" panose="02040604050505020304" pitchFamily="18" charset="0"/>
            </a:rPr>
            <a:t>%!</a:t>
          </a:r>
        </a:p>
      </xdr:txBody>
    </xdr:sp>
    <xdr:clientData/>
  </xdr:twoCellAnchor>
  <xdr:twoCellAnchor editAs="oneCell">
    <xdr:from>
      <xdr:col>5</xdr:col>
      <xdr:colOff>590550</xdr:colOff>
      <xdr:row>7</xdr:row>
      <xdr:rowOff>57150</xdr:rowOff>
    </xdr:from>
    <xdr:to>
      <xdr:col>9</xdr:col>
      <xdr:colOff>19049</xdr:colOff>
      <xdr:row>10</xdr:row>
      <xdr:rowOff>57149</xdr:rowOff>
    </xdr:to>
    <xdr:pic>
      <xdr:nvPicPr>
        <xdr:cNvPr id="3" name="Graphic 2" descr="Question Mark with solid fill">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2300" y="1552575"/>
          <a:ext cx="571499" cy="571499"/>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0.77604</cdr:x>
      <cdr:y>0.92578</cdr:y>
    </cdr:from>
    <cdr:to>
      <cdr:x>0.8541</cdr:x>
      <cdr:y>0.9772</cdr:y>
    </cdr:to>
    <cdr:sp macro="" textlink="">
      <cdr:nvSpPr>
        <cdr:cNvPr id="7169" name="Text Box 1"/>
        <cdr:cNvSpPr txBox="1">
          <a:spLocks xmlns:a="http://schemas.openxmlformats.org/drawingml/2006/main" noChangeArrowheads="1"/>
        </cdr:cNvSpPr>
      </cdr:nvSpPr>
      <cdr:spPr bwMode="auto">
        <a:xfrm xmlns:a="http://schemas.openxmlformats.org/drawingml/2006/main">
          <a:off x="3821828" y="1869518"/>
          <a:ext cx="421044" cy="2196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18288" rIns="27432" bIns="18288" anchor="ctr"/>
        <a:lstStyle xmlns:a="http://schemas.openxmlformats.org/drawingml/2006/main"/>
        <a:p xmlns:a="http://schemas.openxmlformats.org/drawingml/2006/main">
          <a:pPr algn="ctr" rtl="0">
            <a:defRPr sz="1000"/>
          </a:pPr>
          <a:r>
            <a:rPr lang="en-AU" sz="1000" b="1" i="0" u="none" strike="noStrike" baseline="0">
              <a:solidFill>
                <a:srgbClr val="000000"/>
              </a:solidFill>
              <a:latin typeface="Times New Roman"/>
              <a:cs typeface="Times New Roman"/>
            </a:rPr>
            <a:t>Years</a:t>
          </a:r>
          <a:endParaRPr lang="en-AU"/>
        </a:p>
      </cdr:txBody>
    </cdr:sp>
  </cdr:relSizeAnchor>
  <cdr:relSizeAnchor xmlns:cdr="http://schemas.openxmlformats.org/drawingml/2006/chartDrawing">
    <cdr:from>
      <cdr:x>0.0029</cdr:x>
      <cdr:y>0.03021</cdr:y>
    </cdr:from>
    <cdr:to>
      <cdr:x>0.08914</cdr:x>
      <cdr:y>0.0966</cdr:y>
    </cdr:to>
    <cdr:sp macro="" textlink="">
      <cdr:nvSpPr>
        <cdr:cNvPr id="7170" name="Text Box 2"/>
        <cdr:cNvSpPr txBox="1">
          <a:spLocks xmlns:a="http://schemas.openxmlformats.org/drawingml/2006/main" noChangeArrowheads="1"/>
        </cdr:cNvSpPr>
      </cdr:nvSpPr>
      <cdr:spPr bwMode="auto">
        <a:xfrm xmlns:a="http://schemas.openxmlformats.org/drawingml/2006/main">
          <a:off x="8282" y="73420"/>
          <a:ext cx="427602" cy="2121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18288" rIns="27432" bIns="18288" anchor="ctr"/>
        <a:lstStyle xmlns:a="http://schemas.openxmlformats.org/drawingml/2006/main"/>
        <a:p xmlns:a="http://schemas.openxmlformats.org/drawingml/2006/main">
          <a:pPr algn="ctr" rtl="0">
            <a:defRPr sz="1000"/>
          </a:pPr>
          <a:r>
            <a:rPr lang="en-AU" sz="1000" b="1" i="0" u="none" strike="noStrike" baseline="0">
              <a:solidFill>
                <a:srgbClr val="000000"/>
              </a:solidFill>
              <a:latin typeface="Times New Roman"/>
              <a:cs typeface="Times New Roman"/>
            </a:rPr>
            <a:t>Rate</a:t>
          </a:r>
          <a:endParaRPr lang="en-AU"/>
        </a:p>
      </cdr:txBody>
    </cdr:sp>
  </cdr:relSizeAnchor>
</c:userShapes>
</file>

<file path=xl/drawings/drawing3.xml><?xml version="1.0" encoding="utf-8"?>
<xdr:wsDr xmlns:xdr="http://schemas.openxmlformats.org/drawingml/2006/spreadsheetDrawing" xmlns:a="http://schemas.openxmlformats.org/drawingml/2006/main">
  <xdr:twoCellAnchor>
    <xdr:from>
      <xdr:col>17</xdr:col>
      <xdr:colOff>142875</xdr:colOff>
      <xdr:row>0</xdr:row>
      <xdr:rowOff>19050</xdr:rowOff>
    </xdr:from>
    <xdr:to>
      <xdr:col>18</xdr:col>
      <xdr:colOff>352425</xdr:colOff>
      <xdr:row>2</xdr:row>
      <xdr:rowOff>142875</xdr:rowOff>
    </xdr:to>
    <xdr:pic>
      <xdr:nvPicPr>
        <xdr:cNvPr id="8929" name="Picture 1" descr="tao">
          <a:extLst>
            <a:ext uri="{FF2B5EF4-FFF2-40B4-BE49-F238E27FC236}">
              <a16:creationId xmlns:a16="http://schemas.microsoft.com/office/drawing/2014/main" id="{00000000-0008-0000-0100-0000E1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19050"/>
          <a:ext cx="742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257175</xdr:colOff>
      <xdr:row>44</xdr:row>
      <xdr:rowOff>38100</xdr:rowOff>
    </xdr:from>
    <xdr:to>
      <xdr:col>5</xdr:col>
      <xdr:colOff>257175</xdr:colOff>
      <xdr:row>45</xdr:row>
      <xdr:rowOff>133350</xdr:rowOff>
    </xdr:to>
    <xdr:cxnSp macro="">
      <xdr:nvCxnSpPr>
        <xdr:cNvPr id="8930" name="Straight Arrow Connector 2">
          <a:extLst>
            <a:ext uri="{FF2B5EF4-FFF2-40B4-BE49-F238E27FC236}">
              <a16:creationId xmlns:a16="http://schemas.microsoft.com/office/drawing/2014/main" id="{00000000-0008-0000-0100-0000E2220000}"/>
            </a:ext>
          </a:extLst>
        </xdr:cNvPr>
        <xdr:cNvCxnSpPr>
          <a:cxnSpLocks noChangeShapeType="1"/>
        </xdr:cNvCxnSpPr>
      </xdr:nvCxnSpPr>
      <xdr:spPr bwMode="auto">
        <a:xfrm>
          <a:off x="2847975" y="6581775"/>
          <a:ext cx="0" cy="2476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230506</xdr:colOff>
      <xdr:row>13</xdr:row>
      <xdr:rowOff>31749</xdr:rowOff>
    </xdr:from>
    <xdr:to>
      <xdr:col>15</xdr:col>
      <xdr:colOff>401982</xdr:colOff>
      <xdr:row>15</xdr:row>
      <xdr:rowOff>111183</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bwMode="auto">
        <a:xfrm>
          <a:off x="7842251" y="1944687"/>
          <a:ext cx="166687" cy="357188"/>
        </a:xfrm>
        <a:prstGeom prst="rightBrac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wrap="square" lIns="18288" tIns="0" rIns="0" bIns="0" rtlCol="0" anchor="t" upright="1"/>
        <a:lstStyle/>
        <a:p>
          <a:endParaRPr lang="en-AU"/>
        </a:p>
      </xdr:txBody>
    </xdr:sp>
    <xdr:clientData/>
  </xdr:twoCellAnchor>
  <xdr:twoCellAnchor>
    <xdr:from>
      <xdr:col>2</xdr:col>
      <xdr:colOff>647700</xdr:colOff>
      <xdr:row>32</xdr:row>
      <xdr:rowOff>9525</xdr:rowOff>
    </xdr:from>
    <xdr:to>
      <xdr:col>12</xdr:col>
      <xdr:colOff>695325</xdr:colOff>
      <xdr:row>55</xdr:row>
      <xdr:rowOff>123825</xdr:rowOff>
    </xdr:to>
    <xdr:cxnSp macro="">
      <xdr:nvCxnSpPr>
        <xdr:cNvPr id="8932" name="Straight Arrow Connector 11">
          <a:extLst>
            <a:ext uri="{FF2B5EF4-FFF2-40B4-BE49-F238E27FC236}">
              <a16:creationId xmlns:a16="http://schemas.microsoft.com/office/drawing/2014/main" id="{00000000-0008-0000-0100-0000E4220000}"/>
            </a:ext>
          </a:extLst>
        </xdr:cNvPr>
        <xdr:cNvCxnSpPr>
          <a:cxnSpLocks noChangeShapeType="1"/>
        </xdr:cNvCxnSpPr>
      </xdr:nvCxnSpPr>
      <xdr:spPr bwMode="auto">
        <a:xfrm flipH="1">
          <a:off x="1457325" y="4752975"/>
          <a:ext cx="4886325" cy="3524250"/>
        </a:xfrm>
        <a:prstGeom prst="straightConnector1">
          <a:avLst/>
        </a:prstGeom>
        <a:noFill/>
        <a:ln w="9525" algn="ctr">
          <a:solidFill>
            <a:srgbClr val="000000">
              <a:alpha val="30980"/>
            </a:srgbClr>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238125</xdr:colOff>
      <xdr:row>58</xdr:row>
      <xdr:rowOff>57150</xdr:rowOff>
    </xdr:from>
    <xdr:to>
      <xdr:col>2</xdr:col>
      <xdr:colOff>190500</xdr:colOff>
      <xdr:row>72</xdr:row>
      <xdr:rowOff>66675</xdr:rowOff>
    </xdr:to>
    <xdr:cxnSp macro="">
      <xdr:nvCxnSpPr>
        <xdr:cNvPr id="8933" name="Straight Arrow Connector 11">
          <a:extLst>
            <a:ext uri="{FF2B5EF4-FFF2-40B4-BE49-F238E27FC236}">
              <a16:creationId xmlns:a16="http://schemas.microsoft.com/office/drawing/2014/main" id="{00000000-0008-0000-0100-0000E5220000}"/>
            </a:ext>
          </a:extLst>
        </xdr:cNvPr>
        <xdr:cNvCxnSpPr>
          <a:cxnSpLocks noChangeShapeType="1"/>
        </xdr:cNvCxnSpPr>
      </xdr:nvCxnSpPr>
      <xdr:spPr bwMode="auto">
        <a:xfrm flipV="1">
          <a:off x="561975" y="8639175"/>
          <a:ext cx="438150" cy="2028825"/>
        </a:xfrm>
        <a:prstGeom prst="straightConnector1">
          <a:avLst/>
        </a:prstGeom>
        <a:noFill/>
        <a:ln w="9525" algn="ctr">
          <a:solidFill>
            <a:srgbClr val="FF0000">
              <a:alpha val="58823"/>
            </a:srgbClr>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98"/>
  <sheetViews>
    <sheetView tabSelected="1" zoomScaleNormal="100" workbookViewId="0"/>
  </sheetViews>
  <sheetFormatPr defaultRowHeight="12.75" x14ac:dyDescent="0.2"/>
  <cols>
    <col min="1" max="1" width="2.1640625" customWidth="1"/>
    <col min="3" max="3" width="12.5" customWidth="1"/>
    <col min="4" max="4" width="12.1640625" bestFit="1" customWidth="1"/>
    <col min="5" max="5" width="8.83203125" customWidth="1"/>
    <col min="6" max="6" width="12.1640625" bestFit="1" customWidth="1"/>
    <col min="7" max="7" width="3.1640625" customWidth="1"/>
    <col min="8" max="8" width="2.5" customWidth="1"/>
    <col min="9" max="9" width="2.1640625" customWidth="1"/>
    <col min="10" max="10" width="12.1640625" bestFit="1" customWidth="1"/>
    <col min="11" max="11" width="1.83203125" customWidth="1"/>
    <col min="12" max="12" width="12.1640625" bestFit="1" customWidth="1"/>
    <col min="13" max="13" width="2.83203125" customWidth="1"/>
    <col min="14" max="14" width="4" customWidth="1"/>
    <col min="15" max="16" width="3.83203125" customWidth="1"/>
    <col min="17" max="17" width="3.33203125" customWidth="1"/>
    <col min="18" max="18" width="2.1640625" customWidth="1"/>
    <col min="19" max="19" width="2.1640625" bestFit="1" customWidth="1"/>
    <col min="20" max="24" width="11.1640625" customWidth="1"/>
    <col min="25" max="25" width="7" customWidth="1"/>
    <col min="26" max="26" width="9" customWidth="1"/>
    <col min="27" max="27" width="9.6640625" customWidth="1"/>
    <col min="28" max="28" width="9.1640625" customWidth="1"/>
    <col min="29" max="29" width="8.6640625" customWidth="1"/>
    <col min="37" max="37" width="10.1640625" bestFit="1" customWidth="1"/>
    <col min="38" max="38" width="10" customWidth="1"/>
    <col min="39" max="39" width="10.5" customWidth="1"/>
    <col min="40" max="40" width="9.6640625" bestFit="1" customWidth="1"/>
    <col min="41" max="41" width="10.1640625" customWidth="1"/>
    <col min="42" max="42" width="11" customWidth="1"/>
  </cols>
  <sheetData>
    <row r="1" spans="1:45" ht="27" thickTop="1" x14ac:dyDescent="0.4">
      <c r="B1" s="52" t="s">
        <v>33</v>
      </c>
      <c r="T1" s="271" t="s">
        <v>183</v>
      </c>
      <c r="U1" s="272"/>
      <c r="V1" s="272"/>
      <c r="W1" s="272"/>
      <c r="X1" s="272"/>
      <c r="Y1" s="272"/>
      <c r="Z1" s="272"/>
      <c r="AA1" s="272"/>
      <c r="AB1" s="272"/>
      <c r="AC1" s="272"/>
      <c r="AD1" s="272"/>
      <c r="AE1" s="272"/>
      <c r="AF1" s="273"/>
    </row>
    <row r="2" spans="1:45" ht="13.5" customHeight="1" x14ac:dyDescent="0.2">
      <c r="T2" s="275"/>
      <c r="U2" s="276"/>
      <c r="V2" s="276"/>
      <c r="W2" s="276"/>
      <c r="X2" s="276"/>
      <c r="Y2" s="276"/>
      <c r="Z2" s="276"/>
      <c r="AA2" s="276"/>
      <c r="AB2" s="276"/>
      <c r="AC2" s="276"/>
      <c r="AD2" s="276"/>
      <c r="AE2" s="276"/>
      <c r="AF2" s="277"/>
    </row>
    <row r="3" spans="1:45" ht="19.5" customHeight="1" x14ac:dyDescent="0.3">
      <c r="B3" s="49" t="s">
        <v>42</v>
      </c>
      <c r="T3" s="298" t="s">
        <v>201</v>
      </c>
      <c r="U3" s="299"/>
      <c r="V3" s="299"/>
      <c r="W3" s="299"/>
      <c r="X3" s="299"/>
      <c r="Y3" s="299"/>
      <c r="Z3" s="299"/>
      <c r="AA3" s="299"/>
      <c r="AB3" s="299"/>
      <c r="AC3" s="299"/>
      <c r="AD3" s="299"/>
      <c r="AE3" s="299"/>
      <c r="AF3" s="300"/>
      <c r="AR3" s="269"/>
      <c r="AS3" s="269"/>
    </row>
    <row r="4" spans="1:45" ht="12.75" customHeight="1" x14ac:dyDescent="0.25">
      <c r="T4" s="298"/>
      <c r="U4" s="299"/>
      <c r="V4" s="299"/>
      <c r="W4" s="299"/>
      <c r="X4" s="299"/>
      <c r="Y4" s="299"/>
      <c r="Z4" s="299"/>
      <c r="AA4" s="299"/>
      <c r="AB4" s="299"/>
      <c r="AC4" s="299"/>
      <c r="AD4" s="299"/>
      <c r="AE4" s="299"/>
      <c r="AF4" s="300"/>
      <c r="AR4" s="269"/>
      <c r="AS4" s="269"/>
    </row>
    <row r="5" spans="1:45" ht="15" customHeight="1" x14ac:dyDescent="0.25">
      <c r="B5" s="28" t="s">
        <v>27</v>
      </c>
      <c r="T5" s="307" t="s">
        <v>188</v>
      </c>
      <c r="U5" s="308"/>
      <c r="V5" s="308"/>
      <c r="W5" s="308"/>
      <c r="X5" s="308"/>
      <c r="Y5" s="308"/>
      <c r="Z5" s="308"/>
      <c r="AA5" s="308"/>
      <c r="AB5" s="308"/>
      <c r="AC5" s="308"/>
      <c r="AD5" s="308"/>
      <c r="AE5" s="308"/>
      <c r="AF5" s="274"/>
      <c r="AR5" s="268"/>
      <c r="AS5" s="268"/>
    </row>
    <row r="6" spans="1:45" ht="15" customHeight="1" x14ac:dyDescent="0.25">
      <c r="B6" s="56"/>
      <c r="C6" t="s">
        <v>45</v>
      </c>
      <c r="T6" s="307"/>
      <c r="U6" s="308"/>
      <c r="V6" s="308"/>
      <c r="W6" s="308"/>
      <c r="X6" s="308"/>
      <c r="Y6" s="308"/>
      <c r="Z6" s="308"/>
      <c r="AA6" s="308"/>
      <c r="AB6" s="308"/>
      <c r="AC6" s="308"/>
      <c r="AD6" s="308"/>
      <c r="AE6" s="308"/>
      <c r="AF6" s="274"/>
      <c r="AR6" s="268"/>
      <c r="AS6" s="268"/>
    </row>
    <row r="7" spans="1:45" ht="15" customHeight="1" x14ac:dyDescent="0.25">
      <c r="C7" s="201" t="s">
        <v>207</v>
      </c>
      <c r="T7" s="307"/>
      <c r="U7" s="308"/>
      <c r="V7" s="308"/>
      <c r="W7" s="308"/>
      <c r="X7" s="308"/>
      <c r="Y7" s="308"/>
      <c r="Z7" s="308"/>
      <c r="AA7" s="308"/>
      <c r="AB7" s="308"/>
      <c r="AC7" s="308"/>
      <c r="AD7" s="308"/>
      <c r="AE7" s="308"/>
      <c r="AF7" s="274"/>
      <c r="AR7" s="268"/>
      <c r="AS7" s="268"/>
    </row>
    <row r="8" spans="1:45" ht="15" customHeight="1" x14ac:dyDescent="0.25">
      <c r="B8" s="279" t="s">
        <v>187</v>
      </c>
      <c r="T8" s="307"/>
      <c r="U8" s="308"/>
      <c r="V8" s="308"/>
      <c r="W8" s="308"/>
      <c r="X8" s="308"/>
      <c r="Y8" s="308"/>
      <c r="Z8" s="308"/>
      <c r="AA8" s="308"/>
      <c r="AB8" s="308"/>
      <c r="AC8" s="308"/>
      <c r="AD8" s="308"/>
      <c r="AE8" s="308"/>
      <c r="AF8" s="274"/>
      <c r="AR8" s="268"/>
      <c r="AS8" s="268"/>
    </row>
    <row r="9" spans="1:45" ht="15" customHeight="1" x14ac:dyDescent="0.25">
      <c r="B9" s="282" t="str">
        <f>U17&amp;" "</f>
        <v xml:space="preserve">30 April </v>
      </c>
      <c r="C9" s="201" t="s">
        <v>162</v>
      </c>
      <c r="E9" s="58" t="s">
        <v>186</v>
      </c>
      <c r="T9" s="307"/>
      <c r="U9" s="308"/>
      <c r="V9" s="308"/>
      <c r="W9" s="308"/>
      <c r="X9" s="308"/>
      <c r="Y9" s="308"/>
      <c r="Z9" s="308"/>
      <c r="AA9" s="308"/>
      <c r="AB9" s="308"/>
      <c r="AC9" s="308"/>
      <c r="AD9" s="308"/>
      <c r="AE9" s="308"/>
      <c r="AF9" s="274"/>
      <c r="AR9" s="268"/>
      <c r="AS9" s="268"/>
    </row>
    <row r="10" spans="1:45" ht="15" customHeight="1" x14ac:dyDescent="0.2">
      <c r="A10" s="43">
        <v>1</v>
      </c>
      <c r="B10" s="56">
        <v>2024</v>
      </c>
      <c r="C10" t="s">
        <v>28</v>
      </c>
      <c r="E10" s="43">
        <v>2</v>
      </c>
      <c r="F10" s="288"/>
      <c r="T10" s="301" t="s">
        <v>240</v>
      </c>
      <c r="U10" s="302"/>
      <c r="V10" s="302"/>
      <c r="W10" s="302"/>
      <c r="X10" s="302"/>
      <c r="Y10" s="302"/>
      <c r="Z10" s="302"/>
      <c r="AA10" s="302"/>
      <c r="AB10" s="302"/>
      <c r="AC10" s="302"/>
      <c r="AD10" s="302"/>
      <c r="AE10" s="302"/>
      <c r="AF10" s="303"/>
    </row>
    <row r="11" spans="1:45" ht="15" customHeight="1" thickBot="1" x14ac:dyDescent="0.25">
      <c r="B11">
        <f>B10-1</f>
        <v>2023</v>
      </c>
      <c r="C11" t="s">
        <v>29</v>
      </c>
      <c r="T11" s="304"/>
      <c r="U11" s="305"/>
      <c r="V11" s="305"/>
      <c r="W11" s="305"/>
      <c r="X11" s="305"/>
      <c r="Y11" s="305"/>
      <c r="Z11" s="305"/>
      <c r="AA11" s="305"/>
      <c r="AB11" s="305"/>
      <c r="AC11" s="305"/>
      <c r="AD11" s="305"/>
      <c r="AE11" s="305"/>
      <c r="AF11" s="306"/>
    </row>
    <row r="12" spans="1:45" ht="16.5" customHeight="1" thickTop="1" x14ac:dyDescent="0.25">
      <c r="B12">
        <f>B11-1</f>
        <v>2022</v>
      </c>
      <c r="C12" t="s">
        <v>30</v>
      </c>
      <c r="T12" s="235"/>
      <c r="U12" s="234"/>
      <c r="V12" s="234"/>
      <c r="W12" s="234"/>
      <c r="X12" s="234"/>
      <c r="Y12" s="234"/>
      <c r="Z12" s="234"/>
      <c r="AA12" s="234"/>
      <c r="AB12" s="234"/>
      <c r="AC12" s="234"/>
      <c r="AD12" s="234"/>
      <c r="AE12" s="234"/>
      <c r="AJ12" s="265" t="s">
        <v>230</v>
      </c>
    </row>
    <row r="13" spans="1:45" x14ac:dyDescent="0.2">
      <c r="T13" s="179" t="s">
        <v>17</v>
      </c>
      <c r="AK13" s="44" t="s">
        <v>135</v>
      </c>
      <c r="AL13" s="44" t="s">
        <v>136</v>
      </c>
      <c r="AM13" s="44" t="s">
        <v>137</v>
      </c>
      <c r="AN13" s="241" t="s">
        <v>138</v>
      </c>
      <c r="AO13" s="44" t="s">
        <v>139</v>
      </c>
    </row>
    <row r="14" spans="1:45" x14ac:dyDescent="0.2">
      <c r="B14" s="36"/>
      <c r="C14" s="57" t="s">
        <v>86</v>
      </c>
      <c r="D14" s="37"/>
      <c r="E14" s="37"/>
      <c r="F14" s="37"/>
      <c r="G14" s="31"/>
      <c r="I14" s="36"/>
      <c r="J14" s="57" t="s">
        <v>31</v>
      </c>
      <c r="K14" s="37"/>
      <c r="L14" s="37"/>
      <c r="M14" s="31"/>
      <c r="T14" s="179" t="s">
        <v>32</v>
      </c>
      <c r="Z14" s="48" t="s">
        <v>159</v>
      </c>
      <c r="AK14" s="187"/>
      <c r="AL14" s="188"/>
      <c r="AM14" s="189"/>
      <c r="AN14" s="191"/>
      <c r="AO14" s="245"/>
      <c r="AP14" s="270"/>
    </row>
    <row r="15" spans="1:45" x14ac:dyDescent="0.2">
      <c r="B15" s="32"/>
      <c r="C15" s="44">
        <v>3</v>
      </c>
      <c r="D15" s="44">
        <v>4</v>
      </c>
      <c r="E15" s="38"/>
      <c r="F15" s="44">
        <v>5</v>
      </c>
      <c r="G15" s="33"/>
      <c r="I15" s="32"/>
      <c r="J15" s="44">
        <v>6</v>
      </c>
      <c r="K15" s="44"/>
      <c r="L15" s="44">
        <v>7</v>
      </c>
      <c r="M15" s="33"/>
      <c r="T15" s="44">
        <v>5</v>
      </c>
      <c r="U15" s="173"/>
      <c r="Z15" s="200">
        <f>B10</f>
        <v>2024</v>
      </c>
      <c r="AA15" s="192" t="s">
        <v>177</v>
      </c>
      <c r="AK15" s="284" t="s">
        <v>235</v>
      </c>
      <c r="AL15" s="284" t="s">
        <v>235</v>
      </c>
      <c r="AM15" s="283" t="s">
        <v>243</v>
      </c>
      <c r="AN15" s="284" t="s">
        <v>235</v>
      </c>
    </row>
    <row r="16" spans="1:45" x14ac:dyDescent="0.2">
      <c r="B16" s="32"/>
      <c r="C16" s="39" t="s">
        <v>13</v>
      </c>
      <c r="D16" s="39" t="s">
        <v>12</v>
      </c>
      <c r="E16" s="38"/>
      <c r="F16" s="39" t="s">
        <v>17</v>
      </c>
      <c r="G16" s="33"/>
      <c r="I16" s="32"/>
      <c r="J16" s="39" t="s">
        <v>13</v>
      </c>
      <c r="K16" s="39"/>
      <c r="L16" s="39" t="s">
        <v>13</v>
      </c>
      <c r="M16" s="33"/>
      <c r="T16" s="178" t="s">
        <v>141</v>
      </c>
      <c r="U16" s="283" t="s">
        <v>235</v>
      </c>
      <c r="V16" s="283" t="s">
        <v>243</v>
      </c>
      <c r="W16" s="283" t="s">
        <v>243</v>
      </c>
      <c r="X16" s="283"/>
      <c r="Z16" s="242">
        <f>B10</f>
        <v>2024</v>
      </c>
      <c r="AA16" s="199" t="s">
        <v>158</v>
      </c>
      <c r="AK16" s="285">
        <v>45289</v>
      </c>
      <c r="AL16" s="287">
        <v>45412</v>
      </c>
      <c r="AM16" s="286">
        <v>45077</v>
      </c>
      <c r="AN16" s="286">
        <v>45107</v>
      </c>
      <c r="AO16" s="285">
        <v>45657</v>
      </c>
    </row>
    <row r="17" spans="2:45" x14ac:dyDescent="0.2">
      <c r="B17" s="32"/>
      <c r="C17" s="39" t="s">
        <v>21</v>
      </c>
      <c r="D17" s="39" t="s">
        <v>22</v>
      </c>
      <c r="E17" s="38"/>
      <c r="F17" s="39" t="s">
        <v>32</v>
      </c>
      <c r="G17" s="33"/>
      <c r="I17" s="32"/>
      <c r="J17" s="39" t="s">
        <v>21</v>
      </c>
      <c r="K17" s="39"/>
      <c r="L17" s="39" t="s">
        <v>21</v>
      </c>
      <c r="M17" s="33"/>
      <c r="T17" s="240" t="str">
        <f>T21</f>
        <v>31 Dec 23</v>
      </c>
      <c r="U17" s="244" t="s">
        <v>241</v>
      </c>
      <c r="V17" s="180" t="s">
        <v>152</v>
      </c>
      <c r="W17" s="180" t="s">
        <v>232</v>
      </c>
      <c r="X17" s="244" t="s">
        <v>244</v>
      </c>
      <c r="AJ17" s="263" t="s">
        <v>215</v>
      </c>
      <c r="AK17" s="53">
        <v>3.9674999999999998</v>
      </c>
      <c r="AL17" s="53">
        <v>4.2864000000000004</v>
      </c>
      <c r="AM17" s="53">
        <v>4.3480999999999996</v>
      </c>
      <c r="AN17" s="53">
        <v>4.4131</v>
      </c>
      <c r="AO17" s="289"/>
      <c r="AP17" s="278">
        <v>45656</v>
      </c>
      <c r="AS17" s="266"/>
    </row>
    <row r="18" spans="2:45" x14ac:dyDescent="0.2">
      <c r="B18" s="32"/>
      <c r="C18" s="296" t="str">
        <f>$B$9&amp;$B$10</f>
        <v>30 April 2024</v>
      </c>
      <c r="D18" s="296"/>
      <c r="F18" s="38" t="str">
        <f>LOOKUP($F$19,$T$19:$X$19,$T$17:$X$17)&amp;" "&amp;$B$10</f>
        <v>30 June 2024</v>
      </c>
      <c r="G18" s="33"/>
      <c r="I18" s="32"/>
      <c r="J18" s="38" t="str">
        <f>$B$9&amp;$B$11</f>
        <v>30 April 2023</v>
      </c>
      <c r="K18" s="38"/>
      <c r="L18" s="38" t="str">
        <f>$B$9&amp;$B$12</f>
        <v>30 April 2022</v>
      </c>
      <c r="M18" s="33"/>
      <c r="T18" s="243">
        <f>B11</f>
        <v>2023</v>
      </c>
      <c r="U18" s="193">
        <f>B10</f>
        <v>2024</v>
      </c>
      <c r="V18" s="193">
        <f>U18</f>
        <v>2024</v>
      </c>
      <c r="W18" s="193">
        <f>V18</f>
        <v>2024</v>
      </c>
      <c r="X18" s="193">
        <f>W18</f>
        <v>2024</v>
      </c>
      <c r="AA18" s="190" t="s">
        <v>153</v>
      </c>
      <c r="AJ18" s="263" t="s">
        <v>216</v>
      </c>
      <c r="AK18" s="54">
        <v>3.7080000000000002</v>
      </c>
      <c r="AL18" s="54">
        <v>4.0949999999999998</v>
      </c>
      <c r="AM18" s="54">
        <v>4.1208</v>
      </c>
      <c r="AN18" s="54">
        <v>4.1574999999999998</v>
      </c>
      <c r="AO18" s="290"/>
      <c r="AP18" s="278">
        <f t="shared" ref="AP18:AP31" si="0">AP17+365</f>
        <v>46021</v>
      </c>
      <c r="AS18" s="266"/>
    </row>
    <row r="19" spans="2:45" x14ac:dyDescent="0.2">
      <c r="B19" s="32"/>
      <c r="C19" s="38"/>
      <c r="D19" s="38"/>
      <c r="E19" s="38"/>
      <c r="F19" s="184" t="s">
        <v>138</v>
      </c>
      <c r="G19" s="33"/>
      <c r="I19" s="32"/>
      <c r="J19" s="38"/>
      <c r="K19" s="38"/>
      <c r="L19" s="38"/>
      <c r="M19" s="33"/>
      <c r="T19" s="44" t="s">
        <v>135</v>
      </c>
      <c r="U19" s="44" t="s">
        <v>136</v>
      </c>
      <c r="V19" s="44" t="s">
        <v>137</v>
      </c>
      <c r="W19" s="241" t="s">
        <v>138</v>
      </c>
      <c r="X19" s="44" t="s">
        <v>139</v>
      </c>
      <c r="AE19" s="201"/>
      <c r="AJ19" s="263" t="s">
        <v>217</v>
      </c>
      <c r="AK19" s="54">
        <v>3.6080000000000001</v>
      </c>
      <c r="AL19" s="54">
        <v>4.0316999999999998</v>
      </c>
      <c r="AM19" s="54">
        <v>4.0488</v>
      </c>
      <c r="AN19" s="54">
        <v>4.0791000000000004</v>
      </c>
      <c r="AO19" s="290"/>
      <c r="AP19" s="278">
        <f t="shared" si="0"/>
        <v>46386</v>
      </c>
      <c r="AS19" s="266"/>
    </row>
    <row r="20" spans="2:45" x14ac:dyDescent="0.2">
      <c r="B20" s="40" t="s">
        <v>2</v>
      </c>
      <c r="C20" s="169">
        <v>63</v>
      </c>
      <c r="D20" s="162">
        <v>185000</v>
      </c>
      <c r="E20" s="38"/>
      <c r="F20" s="41" t="s">
        <v>34</v>
      </c>
      <c r="G20" s="33"/>
      <c r="I20" s="32"/>
      <c r="J20" s="165">
        <v>56</v>
      </c>
      <c r="K20" s="38"/>
      <c r="L20" s="165">
        <v>52</v>
      </c>
      <c r="M20" s="33"/>
      <c r="T20" s="187"/>
      <c r="U20" s="188"/>
      <c r="V20" s="189"/>
      <c r="W20" s="191"/>
      <c r="X20" s="245"/>
      <c r="AJ20" s="263" t="s">
        <v>218</v>
      </c>
      <c r="AK20" s="54">
        <v>3.6038999999999999</v>
      </c>
      <c r="AL20" s="54">
        <v>4.0457000000000001</v>
      </c>
      <c r="AM20" s="54">
        <v>4.0495000000000001</v>
      </c>
      <c r="AN20" s="54">
        <v>4.0551000000000004</v>
      </c>
      <c r="AO20" s="290"/>
      <c r="AP20" s="278">
        <f t="shared" si="0"/>
        <v>46751</v>
      </c>
      <c r="AS20" s="266"/>
    </row>
    <row r="21" spans="2:45" x14ac:dyDescent="0.2">
      <c r="B21" s="32">
        <v>10</v>
      </c>
      <c r="C21" s="170">
        <v>4</v>
      </c>
      <c r="D21" s="163">
        <v>15000</v>
      </c>
      <c r="E21" s="38"/>
      <c r="F21" s="41" t="s">
        <v>34</v>
      </c>
      <c r="G21" s="33"/>
      <c r="I21" s="32"/>
      <c r="J21" s="166">
        <v>4</v>
      </c>
      <c r="K21" s="38"/>
      <c r="L21" s="166">
        <v>4</v>
      </c>
      <c r="M21" s="33"/>
      <c r="T21" s="244" t="str">
        <f>"31 Dec "&amp;RIGHT(T18,2)</f>
        <v>31 Dec 23</v>
      </c>
      <c r="U21" s="244" t="str">
        <f>U17&amp;" "&amp;RIGHT(U18,2)</f>
        <v>30 April 24</v>
      </c>
      <c r="V21" s="244" t="str">
        <f t="shared" ref="V21:X21" si="1">V17&amp;" "&amp;RIGHT(V18,2)</f>
        <v>31 May 24</v>
      </c>
      <c r="W21" s="244" t="str">
        <f t="shared" si="1"/>
        <v>30 June 24</v>
      </c>
      <c r="X21" s="244" t="str">
        <f t="shared" si="1"/>
        <v>31 Dec 24</v>
      </c>
      <c r="AJ21" s="263" t="s">
        <v>219</v>
      </c>
      <c r="AK21" s="54">
        <v>3.6362000000000001</v>
      </c>
      <c r="AL21" s="54">
        <v>4.0960999999999999</v>
      </c>
      <c r="AM21" s="54">
        <v>4.0951000000000004</v>
      </c>
      <c r="AN21" s="54">
        <v>4.07</v>
      </c>
      <c r="AO21" s="290"/>
      <c r="AP21" s="278">
        <f t="shared" si="0"/>
        <v>47116</v>
      </c>
      <c r="AS21" s="266"/>
    </row>
    <row r="22" spans="2:45" x14ac:dyDescent="0.2">
      <c r="B22" s="32">
        <v>9</v>
      </c>
      <c r="C22" s="170">
        <v>6</v>
      </c>
      <c r="D22" s="163">
        <v>5000</v>
      </c>
      <c r="E22" s="38"/>
      <c r="F22" s="181">
        <f t="shared" ref="F22:F31" si="2">IF($F$19="A",T22,(IF($F$19="B",U22,(IF($F$19="C",V22,(IF($F$19="D",W22, (IF($F$19="E",X22,"Error")))))))))</f>
        <v>4.4131</v>
      </c>
      <c r="G22" s="33"/>
      <c r="I22" s="32"/>
      <c r="J22" s="166">
        <v>5</v>
      </c>
      <c r="K22" s="38"/>
      <c r="L22" s="166">
        <v>4</v>
      </c>
      <c r="M22" s="33"/>
      <c r="S22" s="32">
        <v>9</v>
      </c>
      <c r="T22" s="53">
        <v>3.9674999999999998</v>
      </c>
      <c r="U22" s="53">
        <v>4.2864000000000004</v>
      </c>
      <c r="V22" s="53">
        <v>4.3480999999999996</v>
      </c>
      <c r="W22" s="53">
        <v>4.4131</v>
      </c>
      <c r="X22" s="289"/>
      <c r="AD22" s="194"/>
      <c r="AE22" s="194"/>
      <c r="AJ22" s="263" t="s">
        <v>220</v>
      </c>
      <c r="AK22" s="54">
        <v>3.7201</v>
      </c>
      <c r="AL22" s="54">
        <v>4.1833</v>
      </c>
      <c r="AM22" s="54">
        <v>4.1741000000000001</v>
      </c>
      <c r="AN22" s="54">
        <v>4.1172000000000004</v>
      </c>
      <c r="AO22" s="290"/>
      <c r="AP22" s="278">
        <f t="shared" si="0"/>
        <v>47481</v>
      </c>
      <c r="AS22" s="266"/>
    </row>
    <row r="23" spans="2:45" x14ac:dyDescent="0.2">
      <c r="B23" s="32">
        <v>8</v>
      </c>
      <c r="C23" s="170">
        <v>7</v>
      </c>
      <c r="D23" s="163">
        <v>3000</v>
      </c>
      <c r="E23" s="38"/>
      <c r="F23" s="182">
        <f t="shared" si="2"/>
        <v>4.1574999999999998</v>
      </c>
      <c r="G23" s="33"/>
      <c r="I23" s="32"/>
      <c r="J23" s="166">
        <v>6</v>
      </c>
      <c r="K23" s="38"/>
      <c r="L23" s="166">
        <v>6</v>
      </c>
      <c r="M23" s="33"/>
      <c r="S23" s="32">
        <v>8</v>
      </c>
      <c r="T23" s="54">
        <v>3.7080000000000002</v>
      </c>
      <c r="U23" s="54">
        <v>4.0949999999999998</v>
      </c>
      <c r="V23" s="54">
        <v>4.1208</v>
      </c>
      <c r="W23" s="54">
        <v>4.1574999999999998</v>
      </c>
      <c r="X23" s="290"/>
      <c r="AD23" s="194"/>
      <c r="AE23" s="194"/>
      <c r="AJ23" s="263" t="s">
        <v>221</v>
      </c>
      <c r="AK23" s="54">
        <v>3.8039999999999998</v>
      </c>
      <c r="AL23" s="54">
        <v>4.2748999999999997</v>
      </c>
      <c r="AM23" s="54">
        <v>4.2590000000000003</v>
      </c>
      <c r="AN23" s="54">
        <v>4.1788999999999996</v>
      </c>
      <c r="AO23" s="290"/>
      <c r="AP23" s="278">
        <f t="shared" si="0"/>
        <v>47846</v>
      </c>
      <c r="AS23" s="266"/>
    </row>
    <row r="24" spans="2:45" x14ac:dyDescent="0.2">
      <c r="B24" s="32">
        <v>7</v>
      </c>
      <c r="C24" s="170">
        <v>5</v>
      </c>
      <c r="D24" s="163">
        <v>6000</v>
      </c>
      <c r="E24" s="38"/>
      <c r="F24" s="182">
        <f t="shared" si="2"/>
        <v>4.0791000000000004</v>
      </c>
      <c r="G24" s="33"/>
      <c r="I24" s="32"/>
      <c r="J24" s="166">
        <v>8</v>
      </c>
      <c r="K24" s="38"/>
      <c r="L24" s="166">
        <v>6</v>
      </c>
      <c r="M24" s="33"/>
      <c r="S24" s="32">
        <v>7</v>
      </c>
      <c r="T24" s="54">
        <v>3.6080000000000001</v>
      </c>
      <c r="U24" s="54">
        <v>4.0316999999999998</v>
      </c>
      <c r="V24" s="54">
        <v>4.0488</v>
      </c>
      <c r="W24" s="54">
        <v>4.0791000000000004</v>
      </c>
      <c r="X24" s="290"/>
      <c r="AD24" s="194"/>
      <c r="AE24" s="194"/>
      <c r="AJ24" s="263" t="s">
        <v>222</v>
      </c>
      <c r="AK24" s="54">
        <v>3.8708</v>
      </c>
      <c r="AL24" s="54">
        <v>4.3425000000000002</v>
      </c>
      <c r="AM24" s="54">
        <v>4.3304</v>
      </c>
      <c r="AN24" s="54">
        <v>4.2423999999999999</v>
      </c>
      <c r="AO24" s="290"/>
      <c r="AP24" s="278">
        <f t="shared" si="0"/>
        <v>48211</v>
      </c>
      <c r="AS24" s="266"/>
    </row>
    <row r="25" spans="2:45" x14ac:dyDescent="0.2">
      <c r="B25" s="32">
        <v>6</v>
      </c>
      <c r="C25" s="170">
        <v>10</v>
      </c>
      <c r="D25" s="163">
        <v>4000</v>
      </c>
      <c r="E25" s="38"/>
      <c r="F25" s="182">
        <f t="shared" si="2"/>
        <v>4.0551000000000004</v>
      </c>
      <c r="G25" s="33"/>
      <c r="I25" s="32"/>
      <c r="J25" s="166">
        <v>5</v>
      </c>
      <c r="K25" s="38"/>
      <c r="L25" s="166">
        <v>8</v>
      </c>
      <c r="M25" s="33"/>
      <c r="S25" s="32">
        <v>6</v>
      </c>
      <c r="T25" s="54">
        <v>3.6038999999999999</v>
      </c>
      <c r="U25" s="54">
        <v>4.0457000000000001</v>
      </c>
      <c r="V25" s="54">
        <v>4.0495000000000001</v>
      </c>
      <c r="W25" s="54">
        <v>4.0551000000000004</v>
      </c>
      <c r="X25" s="290"/>
      <c r="AD25" s="194"/>
      <c r="AE25" s="194"/>
      <c r="AJ25" s="263" t="s">
        <v>223</v>
      </c>
      <c r="AK25" s="54">
        <v>3.931</v>
      </c>
      <c r="AL25" s="54">
        <v>4.3813000000000004</v>
      </c>
      <c r="AM25" s="54">
        <v>4.3685</v>
      </c>
      <c r="AN25" s="54">
        <v>4.2774999999999999</v>
      </c>
      <c r="AO25" s="290"/>
      <c r="AP25" s="278">
        <f t="shared" si="0"/>
        <v>48576</v>
      </c>
      <c r="AS25" s="266"/>
    </row>
    <row r="26" spans="2:45" x14ac:dyDescent="0.2">
      <c r="B26" s="32">
        <v>5</v>
      </c>
      <c r="C26" s="170">
        <v>11</v>
      </c>
      <c r="D26" s="163">
        <v>3000</v>
      </c>
      <c r="E26" s="38"/>
      <c r="F26" s="182">
        <f t="shared" si="2"/>
        <v>4.07</v>
      </c>
      <c r="G26" s="33"/>
      <c r="I26" s="32"/>
      <c r="J26" s="166">
        <v>12</v>
      </c>
      <c r="K26" s="38"/>
      <c r="L26" s="166">
        <v>5</v>
      </c>
      <c r="M26" s="33"/>
      <c r="S26" s="32">
        <v>5</v>
      </c>
      <c r="T26" s="54">
        <v>3.6362000000000001</v>
      </c>
      <c r="U26" s="54">
        <v>4.0960999999999999</v>
      </c>
      <c r="V26" s="54">
        <v>4.0951000000000004</v>
      </c>
      <c r="W26" s="54">
        <v>4.07</v>
      </c>
      <c r="X26" s="290"/>
      <c r="AD26" s="194"/>
      <c r="AE26" s="194"/>
      <c r="AJ26" s="263" t="s">
        <v>224</v>
      </c>
      <c r="AK26" s="54">
        <v>3.9548000000000001</v>
      </c>
      <c r="AL26" s="54">
        <v>4.4222999999999999</v>
      </c>
      <c r="AM26" s="54">
        <v>4.4062999999999999</v>
      </c>
      <c r="AN26" s="54">
        <v>4.3085000000000004</v>
      </c>
      <c r="AO26" s="290"/>
      <c r="AP26" s="278">
        <f t="shared" si="0"/>
        <v>48941</v>
      </c>
      <c r="AS26" s="266"/>
    </row>
    <row r="27" spans="2:45" x14ac:dyDescent="0.2">
      <c r="B27" s="32">
        <v>4</v>
      </c>
      <c r="C27" s="170">
        <v>20</v>
      </c>
      <c r="D27" s="163">
        <v>6000</v>
      </c>
      <c r="E27" s="38"/>
      <c r="F27" s="182">
        <f t="shared" si="2"/>
        <v>4.1172000000000004</v>
      </c>
      <c r="G27" s="33"/>
      <c r="I27" s="32"/>
      <c r="J27" s="166">
        <v>12</v>
      </c>
      <c r="K27" s="38"/>
      <c r="L27" s="166">
        <v>14</v>
      </c>
      <c r="M27" s="33"/>
      <c r="S27" s="32">
        <v>4</v>
      </c>
      <c r="T27" s="54">
        <v>3.7201</v>
      </c>
      <c r="U27" s="54">
        <v>4.1833</v>
      </c>
      <c r="V27" s="54">
        <v>4.1741000000000001</v>
      </c>
      <c r="W27" s="54">
        <v>4.1172000000000004</v>
      </c>
      <c r="X27" s="290"/>
      <c r="AD27" s="194"/>
      <c r="AE27" s="194"/>
      <c r="AJ27" s="263" t="s">
        <v>225</v>
      </c>
      <c r="AK27" s="54">
        <v>3.9849999999999999</v>
      </c>
      <c r="AL27" s="54">
        <v>4.4610000000000003</v>
      </c>
      <c r="AM27" s="54">
        <v>4.45</v>
      </c>
      <c r="AN27" s="54">
        <v>4.3502000000000001</v>
      </c>
      <c r="AO27" s="290"/>
      <c r="AP27" s="278">
        <f t="shared" si="0"/>
        <v>49306</v>
      </c>
      <c r="AS27" s="266"/>
    </row>
    <row r="28" spans="2:45" x14ac:dyDescent="0.2">
      <c r="B28" s="32">
        <v>3</v>
      </c>
      <c r="C28" s="170">
        <v>22</v>
      </c>
      <c r="D28" s="163">
        <v>7000</v>
      </c>
      <c r="E28" s="38"/>
      <c r="F28" s="182">
        <f t="shared" si="2"/>
        <v>4.1788999999999996</v>
      </c>
      <c r="G28" s="33"/>
      <c r="I28" s="32"/>
      <c r="J28" s="166">
        <v>21</v>
      </c>
      <c r="K28" s="38"/>
      <c r="L28" s="166">
        <v>17</v>
      </c>
      <c r="M28" s="33"/>
      <c r="S28" s="32">
        <v>3</v>
      </c>
      <c r="T28" s="54">
        <v>3.8039999999999998</v>
      </c>
      <c r="U28" s="54">
        <v>4.2748999999999997</v>
      </c>
      <c r="V28" s="54">
        <v>4.2590000000000003</v>
      </c>
      <c r="W28" s="54">
        <v>4.1788999999999996</v>
      </c>
      <c r="X28" s="290"/>
      <c r="AD28" s="194"/>
      <c r="AE28" s="194"/>
      <c r="AJ28" s="263" t="s">
        <v>226</v>
      </c>
      <c r="AK28" s="54">
        <v>4.0250000000000004</v>
      </c>
      <c r="AL28" s="54">
        <v>4.4909999999999997</v>
      </c>
      <c r="AM28" s="54">
        <v>4.4800000000000004</v>
      </c>
      <c r="AN28" s="54">
        <v>4.3840000000000003</v>
      </c>
      <c r="AO28" s="290"/>
      <c r="AP28" s="278">
        <f t="shared" si="0"/>
        <v>49671</v>
      </c>
      <c r="AS28" s="266"/>
    </row>
    <row r="29" spans="2:45" x14ac:dyDescent="0.2">
      <c r="B29" s="32">
        <v>2</v>
      </c>
      <c r="C29" s="170">
        <v>15</v>
      </c>
      <c r="D29" s="163">
        <v>3000</v>
      </c>
      <c r="E29" s="38"/>
      <c r="F29" s="182">
        <f t="shared" si="2"/>
        <v>4.2423999999999999</v>
      </c>
      <c r="G29" s="33"/>
      <c r="I29" s="32"/>
      <c r="J29" s="166">
        <v>29</v>
      </c>
      <c r="K29" s="38"/>
      <c r="L29" s="166">
        <v>27</v>
      </c>
      <c r="M29" s="33"/>
      <c r="S29" s="32">
        <v>2</v>
      </c>
      <c r="T29" s="54">
        <v>3.8708</v>
      </c>
      <c r="U29" s="54">
        <v>4.3425000000000002</v>
      </c>
      <c r="V29" s="54">
        <v>4.3304</v>
      </c>
      <c r="W29" s="54">
        <v>4.2423999999999999</v>
      </c>
      <c r="X29" s="290"/>
      <c r="AD29" s="194"/>
      <c r="AE29" s="194"/>
      <c r="AJ29" s="263" t="s">
        <v>227</v>
      </c>
      <c r="AK29" s="54">
        <v>4.05</v>
      </c>
      <c r="AL29" s="54">
        <v>4.5214999999999996</v>
      </c>
      <c r="AM29" s="54">
        <v>4.5149999999999997</v>
      </c>
      <c r="AN29" s="54">
        <v>4.4074999999999998</v>
      </c>
      <c r="AO29" s="290"/>
      <c r="AP29" s="278">
        <f t="shared" si="0"/>
        <v>50036</v>
      </c>
      <c r="AQ29" s="266"/>
      <c r="AS29" s="266"/>
    </row>
    <row r="30" spans="2:45" x14ac:dyDescent="0.2">
      <c r="B30" s="32">
        <v>1</v>
      </c>
      <c r="C30" s="170">
        <v>25</v>
      </c>
      <c r="D30" s="163">
        <v>6000</v>
      </c>
      <c r="E30" s="38"/>
      <c r="F30" s="182">
        <f t="shared" si="2"/>
        <v>4.2774999999999999</v>
      </c>
      <c r="G30" s="33"/>
      <c r="I30" s="32"/>
      <c r="J30" s="166">
        <v>17</v>
      </c>
      <c r="K30" s="38"/>
      <c r="L30" s="166">
        <v>39</v>
      </c>
      <c r="M30" s="33"/>
      <c r="S30" s="32">
        <v>1</v>
      </c>
      <c r="T30" s="54">
        <v>3.931</v>
      </c>
      <c r="U30" s="54">
        <v>4.3813000000000004</v>
      </c>
      <c r="V30" s="54">
        <v>4.3685</v>
      </c>
      <c r="W30" s="54">
        <v>4.2774999999999999</v>
      </c>
      <c r="X30" s="290"/>
      <c r="AD30" s="194"/>
      <c r="AE30" s="194"/>
      <c r="AJ30" s="263" t="s">
        <v>228</v>
      </c>
      <c r="AK30" s="54">
        <v>4.09</v>
      </c>
      <c r="AL30" s="54">
        <v>4.5620000000000003</v>
      </c>
      <c r="AM30" s="54">
        <v>4.5549999999999997</v>
      </c>
      <c r="AN30" s="54">
        <v>4.46</v>
      </c>
      <c r="AO30" s="290"/>
      <c r="AP30" s="278">
        <f t="shared" si="0"/>
        <v>50401</v>
      </c>
      <c r="AQ30" s="266"/>
      <c r="AS30" s="266"/>
    </row>
    <row r="31" spans="2:45" x14ac:dyDescent="0.2">
      <c r="B31" s="32">
        <v>0</v>
      </c>
      <c r="C31" s="171">
        <v>26</v>
      </c>
      <c r="D31" s="163">
        <v>7000</v>
      </c>
      <c r="E31" s="38"/>
      <c r="F31" s="183">
        <f t="shared" si="2"/>
        <v>4.3085000000000004</v>
      </c>
      <c r="G31" s="33"/>
      <c r="I31" s="32"/>
      <c r="J31" s="167">
        <v>33</v>
      </c>
      <c r="K31" s="38"/>
      <c r="L31" s="167">
        <v>25</v>
      </c>
      <c r="M31" s="33"/>
      <c r="S31" s="32">
        <v>0</v>
      </c>
      <c r="T31" s="55">
        <v>3.9548000000000001</v>
      </c>
      <c r="U31" s="55">
        <v>4.4222999999999999</v>
      </c>
      <c r="V31" s="55">
        <v>4.4062999999999999</v>
      </c>
      <c r="W31" s="55">
        <v>4.3085000000000004</v>
      </c>
      <c r="X31" s="291"/>
      <c r="AD31" s="194"/>
      <c r="AE31" s="194"/>
      <c r="AJ31" s="263" t="s">
        <v>229</v>
      </c>
      <c r="AK31" s="55">
        <v>4.1399999999999997</v>
      </c>
      <c r="AL31" s="55">
        <v>4.6029999999999998</v>
      </c>
      <c r="AM31" s="55">
        <v>4.5982000000000003</v>
      </c>
      <c r="AN31" s="55">
        <v>4.5069999999999997</v>
      </c>
      <c r="AO31" s="291"/>
      <c r="AP31" s="278">
        <f t="shared" si="0"/>
        <v>50766</v>
      </c>
      <c r="AQ31" s="266"/>
      <c r="AS31" s="266"/>
    </row>
    <row r="32" spans="2:45" ht="13.5" thickBot="1" x14ac:dyDescent="0.25">
      <c r="B32" s="233" t="s">
        <v>180</v>
      </c>
      <c r="C32" s="168">
        <f>SUM(C20:C31)</f>
        <v>214</v>
      </c>
      <c r="D32" s="164">
        <f>SUM(D20:D31)</f>
        <v>250000</v>
      </c>
      <c r="E32" s="38"/>
      <c r="F32" s="38"/>
      <c r="G32" s="33"/>
      <c r="I32" s="32"/>
      <c r="J32" s="168">
        <f>SUM(J20:J31)</f>
        <v>208</v>
      </c>
      <c r="K32" s="38"/>
      <c r="L32" s="168">
        <f>SUM(L20:L31)</f>
        <v>207</v>
      </c>
      <c r="M32" s="33"/>
      <c r="S32" s="41"/>
      <c r="AL32" s="264"/>
      <c r="AN32" s="314"/>
    </row>
    <row r="33" spans="1:39" ht="13.5" thickTop="1" x14ac:dyDescent="0.2">
      <c r="B33" s="34"/>
      <c r="C33" s="229"/>
      <c r="D33" s="230"/>
      <c r="E33" s="231" t="s">
        <v>179</v>
      </c>
      <c r="F33" s="232">
        <f>'LSL Provision'!F47</f>
        <v>4.1990039999999999E-2</v>
      </c>
      <c r="G33" s="35"/>
      <c r="I33" s="34"/>
      <c r="J33" s="42"/>
      <c r="K33" s="42"/>
      <c r="L33" s="42"/>
      <c r="M33" s="35"/>
      <c r="S33" s="41"/>
      <c r="U33" s="190" t="s">
        <v>151</v>
      </c>
      <c r="AL33" s="264"/>
      <c r="AM33" s="264"/>
    </row>
    <row r="34" spans="1:39" x14ac:dyDescent="0.2">
      <c r="F34" s="228" t="s">
        <v>189</v>
      </c>
      <c r="S34" s="41"/>
      <c r="U34" t="s">
        <v>140</v>
      </c>
      <c r="AA34" s="185" t="s">
        <v>143</v>
      </c>
      <c r="AB34" s="186">
        <f>MAX(J20:J31,L20:L31,C20:C31)</f>
        <v>63</v>
      </c>
    </row>
    <row r="35" spans="1:39" x14ac:dyDescent="0.2">
      <c r="A35" s="202"/>
      <c r="B35" s="237" t="s">
        <v>202</v>
      </c>
      <c r="C35" s="202"/>
      <c r="D35" s="202"/>
      <c r="E35" s="202"/>
      <c r="F35" s="202"/>
      <c r="G35" s="202"/>
      <c r="H35" s="202"/>
      <c r="I35" s="202"/>
      <c r="J35" s="202"/>
      <c r="K35" s="202"/>
      <c r="L35" s="202"/>
      <c r="M35" s="202"/>
      <c r="N35" s="202"/>
      <c r="O35" s="202"/>
      <c r="P35" s="202"/>
      <c r="Q35" s="202"/>
      <c r="R35" s="202"/>
      <c r="S35" s="41"/>
      <c r="U35" t="s">
        <v>142</v>
      </c>
      <c r="AA35" s="185"/>
      <c r="AB35" s="186"/>
    </row>
    <row r="36" spans="1:39" ht="5.25" customHeight="1" x14ac:dyDescent="0.2">
      <c r="A36" s="202"/>
      <c r="B36" s="309"/>
      <c r="C36" s="309"/>
      <c r="D36" s="309"/>
      <c r="E36" s="309"/>
      <c r="F36" s="309"/>
      <c r="G36" s="309"/>
      <c r="H36" s="309"/>
      <c r="I36" s="309"/>
      <c r="J36" s="309"/>
      <c r="K36" s="309"/>
      <c r="L36" s="309"/>
      <c r="M36" s="309"/>
      <c r="N36" s="309"/>
      <c r="O36" s="309"/>
      <c r="P36" s="309"/>
      <c r="Q36" s="309"/>
      <c r="R36" s="309"/>
      <c r="S36" s="41"/>
      <c r="AA36" s="185"/>
      <c r="AB36" s="186"/>
    </row>
    <row r="37" spans="1:39" x14ac:dyDescent="0.2">
      <c r="A37" s="202"/>
      <c r="B37" s="203" t="s">
        <v>203</v>
      </c>
      <c r="C37" s="202"/>
      <c r="D37" s="202"/>
      <c r="E37" s="202"/>
      <c r="F37" s="202"/>
      <c r="G37" s="202"/>
      <c r="H37" s="202"/>
      <c r="I37" s="202"/>
      <c r="J37" s="202"/>
      <c r="K37" s="202"/>
      <c r="L37" s="202"/>
      <c r="M37" s="202"/>
      <c r="N37" s="202"/>
      <c r="O37" s="202"/>
      <c r="P37" s="202"/>
      <c r="Q37" s="202"/>
      <c r="R37" s="202"/>
      <c r="S37" s="41"/>
      <c r="AA37" s="185"/>
      <c r="AB37" s="186"/>
    </row>
    <row r="38" spans="1:39" ht="27" customHeight="1" x14ac:dyDescent="0.2">
      <c r="B38" s="309" t="s">
        <v>208</v>
      </c>
      <c r="C38" s="309"/>
      <c r="D38" s="309"/>
      <c r="E38" s="309"/>
      <c r="F38" s="309"/>
      <c r="G38" s="309"/>
      <c r="H38" s="309"/>
      <c r="I38" s="309"/>
      <c r="J38" s="309"/>
      <c r="K38" s="309"/>
      <c r="L38" s="309"/>
      <c r="M38" s="309"/>
      <c r="N38" s="309"/>
      <c r="O38" s="309"/>
      <c r="P38" s="309"/>
      <c r="Q38" s="309"/>
      <c r="R38" s="309"/>
      <c r="S38" s="41"/>
      <c r="AA38" s="185"/>
      <c r="AB38" s="186"/>
    </row>
    <row r="39" spans="1:39" x14ac:dyDescent="0.2">
      <c r="A39" s="202"/>
      <c r="B39" s="238" t="s">
        <v>155</v>
      </c>
      <c r="C39" s="202"/>
      <c r="D39" s="202"/>
      <c r="E39" s="202"/>
      <c r="F39" s="202"/>
      <c r="G39" s="202"/>
      <c r="H39" s="202"/>
      <c r="I39" s="202"/>
      <c r="J39" s="202"/>
      <c r="K39" s="202"/>
      <c r="L39" s="202"/>
      <c r="M39" s="202"/>
      <c r="N39" s="202"/>
      <c r="O39" s="202"/>
      <c r="P39" s="202"/>
      <c r="Q39" s="202"/>
      <c r="R39" s="202"/>
      <c r="S39" s="41"/>
      <c r="AA39" s="185"/>
      <c r="AB39" s="186"/>
    </row>
    <row r="40" spans="1:39" ht="39" customHeight="1" x14ac:dyDescent="0.2">
      <c r="A40" s="202"/>
      <c r="B40" s="309" t="s">
        <v>161</v>
      </c>
      <c r="C40" s="309"/>
      <c r="D40" s="309"/>
      <c r="E40" s="309"/>
      <c r="F40" s="309"/>
      <c r="G40" s="309"/>
      <c r="H40" s="309"/>
      <c r="I40" s="309"/>
      <c r="J40" s="309"/>
      <c r="K40" s="309"/>
      <c r="L40" s="309"/>
      <c r="M40" s="309"/>
      <c r="N40" s="309"/>
      <c r="O40" s="309"/>
      <c r="P40" s="309"/>
      <c r="Q40" s="309"/>
      <c r="R40" s="309"/>
      <c r="S40" s="41"/>
      <c r="AA40" s="185"/>
      <c r="AB40" s="186"/>
    </row>
    <row r="41" spans="1:39" ht="12.75" customHeight="1" x14ac:dyDescent="0.2">
      <c r="A41" s="204"/>
      <c r="B41" s="239" t="s">
        <v>156</v>
      </c>
      <c r="C41" s="202"/>
      <c r="D41" s="202"/>
      <c r="E41" s="202"/>
      <c r="F41" s="202"/>
      <c r="G41" s="202"/>
      <c r="H41" s="202"/>
      <c r="I41" s="202"/>
      <c r="J41" s="202"/>
      <c r="K41" s="202"/>
      <c r="L41" s="202"/>
      <c r="M41" s="202"/>
      <c r="N41" s="202"/>
      <c r="O41" s="202"/>
      <c r="P41" s="202"/>
      <c r="Q41" s="202"/>
      <c r="R41" s="202"/>
      <c r="S41" s="41"/>
      <c r="AA41" s="185"/>
      <c r="AB41" s="186"/>
    </row>
    <row r="42" spans="1:39" ht="12.75" customHeight="1" x14ac:dyDescent="0.2">
      <c r="A42" s="204"/>
      <c r="B42" s="239" t="s">
        <v>209</v>
      </c>
      <c r="C42" s="202"/>
      <c r="D42" s="202"/>
      <c r="E42" s="202"/>
      <c r="F42" s="202"/>
      <c r="G42" s="202"/>
      <c r="H42" s="202"/>
      <c r="I42" s="202"/>
      <c r="J42" s="202"/>
      <c r="K42" s="202"/>
      <c r="L42" s="202"/>
      <c r="M42" s="202"/>
      <c r="N42" s="202"/>
      <c r="O42" s="202"/>
      <c r="P42" s="202"/>
      <c r="Q42" s="202"/>
      <c r="R42" s="202"/>
      <c r="S42" s="41"/>
      <c r="AA42" s="185"/>
      <c r="AB42" s="186"/>
    </row>
    <row r="43" spans="1:39" ht="12.75" customHeight="1" x14ac:dyDescent="0.2">
      <c r="A43" s="204"/>
      <c r="B43" s="256" t="s">
        <v>210</v>
      </c>
      <c r="C43" s="202"/>
      <c r="D43" s="202"/>
      <c r="E43" s="202"/>
      <c r="F43" s="202"/>
      <c r="G43" s="202"/>
      <c r="H43" s="202"/>
      <c r="I43" s="202"/>
      <c r="J43" s="202"/>
      <c r="K43" s="202"/>
      <c r="L43" s="202"/>
      <c r="M43" s="202"/>
      <c r="N43" s="202"/>
      <c r="O43" s="202"/>
      <c r="P43" s="202"/>
      <c r="Q43" s="202"/>
      <c r="R43" s="202"/>
      <c r="S43" s="41"/>
      <c r="AA43" s="185"/>
      <c r="AB43" s="186"/>
    </row>
    <row r="44" spans="1:39" ht="7.5" customHeight="1" x14ac:dyDescent="0.2">
      <c r="A44" s="202"/>
      <c r="B44" s="309"/>
      <c r="C44" s="309"/>
      <c r="D44" s="309"/>
      <c r="E44" s="309"/>
      <c r="F44" s="309"/>
      <c r="G44" s="309"/>
      <c r="H44" s="309"/>
      <c r="I44" s="309"/>
      <c r="J44" s="309"/>
      <c r="K44" s="309"/>
      <c r="L44" s="309"/>
      <c r="M44" s="309"/>
      <c r="N44" s="309"/>
      <c r="O44" s="309"/>
      <c r="P44" s="309"/>
      <c r="Q44" s="309"/>
      <c r="R44" s="309"/>
      <c r="S44" s="41"/>
      <c r="AA44" s="185"/>
      <c r="AB44" s="186"/>
    </row>
    <row r="45" spans="1:39" ht="31.5" customHeight="1" x14ac:dyDescent="0.2">
      <c r="A45" s="195"/>
      <c r="B45" s="310" t="s">
        <v>185</v>
      </c>
      <c r="C45" s="311"/>
      <c r="D45" s="311"/>
      <c r="E45" s="311"/>
      <c r="F45" s="311"/>
      <c r="G45" s="311"/>
      <c r="H45" s="311"/>
      <c r="I45" s="311"/>
      <c r="J45" s="311"/>
      <c r="K45" s="311"/>
      <c r="L45" s="311"/>
      <c r="M45" s="311"/>
      <c r="N45" s="311"/>
      <c r="O45" s="311"/>
      <c r="P45" s="311"/>
      <c r="Q45" s="311"/>
      <c r="R45" s="311"/>
      <c r="S45" s="41"/>
      <c r="AA45" s="185"/>
      <c r="AB45" s="186"/>
    </row>
    <row r="46" spans="1:39" ht="12.75" customHeight="1" x14ac:dyDescent="0.2">
      <c r="A46" s="195"/>
      <c r="B46" s="311"/>
      <c r="C46" s="311"/>
      <c r="D46" s="311"/>
      <c r="E46" s="311"/>
      <c r="F46" s="311"/>
      <c r="G46" s="311"/>
      <c r="H46" s="311"/>
      <c r="I46" s="311"/>
      <c r="J46" s="311"/>
      <c r="K46" s="311"/>
      <c r="L46" s="311"/>
      <c r="M46" s="311"/>
      <c r="N46" s="311"/>
      <c r="O46" s="311"/>
      <c r="P46" s="311"/>
      <c r="Q46" s="311"/>
      <c r="R46" s="311"/>
      <c r="S46" s="41"/>
      <c r="AA46" s="185"/>
      <c r="AB46" s="186"/>
    </row>
    <row r="47" spans="1:39" ht="12.75" customHeight="1" x14ac:dyDescent="0.2">
      <c r="A47" s="195"/>
      <c r="B47" s="196"/>
      <c r="C47" s="260" t="s">
        <v>190</v>
      </c>
      <c r="D47" s="261">
        <v>9.5000000000000001E-2</v>
      </c>
      <c r="E47" s="195"/>
      <c r="F47" s="195"/>
      <c r="G47" s="195"/>
      <c r="H47" s="195"/>
      <c r="I47" s="195"/>
      <c r="J47" s="195"/>
      <c r="K47" s="195"/>
      <c r="L47" s="195"/>
      <c r="M47" s="195"/>
      <c r="N47" s="195"/>
      <c r="O47" s="195"/>
      <c r="P47" s="195"/>
      <c r="Q47" s="195"/>
      <c r="R47" s="195"/>
      <c r="S47" s="41"/>
      <c r="AA47" s="185"/>
      <c r="AB47" s="186"/>
    </row>
    <row r="48" spans="1:39" ht="12.75" customHeight="1" x14ac:dyDescent="0.2">
      <c r="A48" s="195"/>
      <c r="B48" s="196"/>
      <c r="C48" s="260">
        <v>44378</v>
      </c>
      <c r="D48" s="261">
        <v>0.1</v>
      </c>
      <c r="E48" s="195"/>
      <c r="F48" s="195"/>
      <c r="G48" s="195"/>
      <c r="H48" s="195"/>
      <c r="I48" s="195"/>
      <c r="J48" s="195"/>
      <c r="K48" s="195"/>
      <c r="L48" s="195"/>
      <c r="M48" s="195"/>
      <c r="N48" s="195"/>
      <c r="O48" s="195"/>
      <c r="P48" s="195"/>
      <c r="Q48" s="195"/>
      <c r="R48" s="195"/>
      <c r="S48" s="41"/>
      <c r="AA48" s="185"/>
      <c r="AB48" s="186"/>
    </row>
    <row r="49" spans="1:28" x14ac:dyDescent="0.2">
      <c r="A49" s="195"/>
      <c r="B49" s="196"/>
      <c r="C49" s="260">
        <v>44743</v>
      </c>
      <c r="D49" s="261">
        <v>0.105</v>
      </c>
      <c r="E49" s="195"/>
      <c r="F49" s="195"/>
      <c r="G49" s="195"/>
      <c r="H49" s="195"/>
      <c r="I49" s="195"/>
      <c r="J49" s="195"/>
      <c r="K49" s="195"/>
      <c r="L49" s="195"/>
      <c r="M49" s="195"/>
      <c r="N49" s="195"/>
      <c r="O49" s="195"/>
      <c r="P49" s="195"/>
      <c r="Q49" s="195"/>
      <c r="R49" s="195"/>
      <c r="S49" s="41"/>
      <c r="AA49" s="185"/>
      <c r="AB49" s="186"/>
    </row>
    <row r="50" spans="1:28" ht="12.75" customHeight="1" x14ac:dyDescent="0.2">
      <c r="A50" s="195"/>
      <c r="B50" s="196"/>
      <c r="C50" s="260">
        <v>45108</v>
      </c>
      <c r="D50" s="261">
        <v>0.11</v>
      </c>
      <c r="E50" s="195"/>
      <c r="F50" s="195"/>
      <c r="G50" s="195"/>
      <c r="H50" s="195"/>
      <c r="I50" s="195"/>
      <c r="J50" s="195"/>
      <c r="K50" s="195"/>
      <c r="L50" s="195"/>
      <c r="M50" s="195"/>
      <c r="N50" s="195"/>
      <c r="O50" s="195"/>
      <c r="P50" s="195"/>
      <c r="Q50" s="195"/>
      <c r="R50" s="195"/>
      <c r="S50" s="41"/>
      <c r="AA50" s="185"/>
      <c r="AB50" s="186"/>
    </row>
    <row r="51" spans="1:28" ht="12.75" customHeight="1" x14ac:dyDescent="0.2">
      <c r="A51" s="195"/>
      <c r="B51" s="196"/>
      <c r="C51" s="259">
        <v>45474</v>
      </c>
      <c r="D51" s="224">
        <v>0.115</v>
      </c>
      <c r="E51" s="195"/>
      <c r="F51" s="195"/>
      <c r="G51" s="195"/>
      <c r="H51" s="195"/>
      <c r="I51" s="195"/>
      <c r="J51" s="195"/>
      <c r="K51" s="195"/>
      <c r="L51" s="195"/>
      <c r="M51" s="195"/>
      <c r="N51" s="195"/>
      <c r="O51" s="195"/>
      <c r="P51" s="195"/>
      <c r="Q51" s="195"/>
      <c r="R51" s="195"/>
      <c r="S51" s="41"/>
      <c r="AA51" s="185"/>
      <c r="AB51" s="186"/>
    </row>
    <row r="52" spans="1:28" ht="12.75" customHeight="1" x14ac:dyDescent="0.2">
      <c r="A52" s="195"/>
      <c r="B52" s="196"/>
      <c r="C52" s="236">
        <v>45839</v>
      </c>
      <c r="D52" s="198">
        <v>0.12</v>
      </c>
      <c r="E52" s="195"/>
      <c r="F52" s="195"/>
      <c r="G52" s="195"/>
      <c r="H52" s="195"/>
      <c r="I52" s="195"/>
      <c r="J52" s="195"/>
      <c r="K52" s="195"/>
      <c r="L52" s="195"/>
      <c r="M52" s="195"/>
      <c r="N52" s="195"/>
      <c r="O52" s="195"/>
      <c r="P52" s="195"/>
      <c r="Q52" s="195"/>
      <c r="R52" s="195"/>
      <c r="S52" s="41"/>
      <c r="AA52" s="185"/>
      <c r="AB52" s="186"/>
    </row>
    <row r="53" spans="1:28" ht="12.75" customHeight="1" x14ac:dyDescent="0.2">
      <c r="A53" s="195"/>
      <c r="B53" s="196" t="s">
        <v>242</v>
      </c>
      <c r="C53" s="196"/>
      <c r="D53" s="196"/>
      <c r="E53" s="195"/>
      <c r="F53" s="195"/>
      <c r="G53" s="195"/>
      <c r="H53" s="195"/>
      <c r="I53" s="195"/>
      <c r="J53" s="195"/>
      <c r="K53" s="195"/>
      <c r="L53" s="195"/>
      <c r="M53" s="195"/>
      <c r="N53" s="195"/>
      <c r="O53" s="195"/>
      <c r="P53" s="195"/>
      <c r="Q53" s="195"/>
      <c r="R53" s="195"/>
      <c r="S53" s="267"/>
    </row>
    <row r="54" spans="1:28" ht="12.75" customHeight="1" x14ac:dyDescent="0.2">
      <c r="A54" s="258"/>
      <c r="B54" s="196" t="s">
        <v>172</v>
      </c>
      <c r="C54" s="195"/>
      <c r="D54" s="195"/>
      <c r="E54" s="195"/>
      <c r="F54" s="195"/>
      <c r="G54" s="195"/>
      <c r="H54" s="195"/>
      <c r="I54" s="195"/>
      <c r="J54" s="195"/>
      <c r="K54" s="195"/>
      <c r="L54" s="195"/>
      <c r="M54" s="195"/>
      <c r="N54" s="195"/>
      <c r="O54" s="195"/>
      <c r="P54" s="195"/>
      <c r="Q54" s="195"/>
      <c r="R54" s="195"/>
      <c r="S54" s="41"/>
    </row>
    <row r="55" spans="1:28" ht="12.75" customHeight="1" x14ac:dyDescent="0.2">
      <c r="A55" s="258"/>
      <c r="B55" s="254" t="s">
        <v>211</v>
      </c>
      <c r="C55" s="195"/>
      <c r="D55" s="195"/>
      <c r="E55" s="195"/>
      <c r="F55" s="195"/>
      <c r="G55" s="195"/>
      <c r="H55" s="195"/>
      <c r="I55" s="195"/>
      <c r="J55" s="195"/>
      <c r="K55" s="195"/>
      <c r="L55" s="195"/>
      <c r="M55" s="195"/>
      <c r="N55" s="195"/>
      <c r="O55" s="195"/>
      <c r="P55" s="195"/>
      <c r="Q55" s="195"/>
      <c r="R55" s="195"/>
      <c r="S55" s="41"/>
    </row>
    <row r="56" spans="1:28" ht="12.75" customHeight="1" x14ac:dyDescent="0.2">
      <c r="S56" s="41"/>
    </row>
    <row r="57" spans="1:28" ht="18.75" x14ac:dyDescent="0.3">
      <c r="B57" s="49" t="s">
        <v>44</v>
      </c>
      <c r="S57" s="41"/>
      <c r="W57" s="201"/>
      <c r="X57" s="201"/>
    </row>
    <row r="58" spans="1:28" ht="15" customHeight="1" x14ac:dyDescent="0.2">
      <c r="S58" s="41"/>
      <c r="W58" s="262"/>
      <c r="X58" s="262"/>
    </row>
    <row r="59" spans="1:28" x14ac:dyDescent="0.2">
      <c r="B59" s="60" t="s">
        <v>63</v>
      </c>
      <c r="S59" s="41"/>
    </row>
    <row r="60" spans="1:28" x14ac:dyDescent="0.2">
      <c r="B60" s="174" t="s">
        <v>132</v>
      </c>
      <c r="S60" s="41"/>
    </row>
    <row r="61" spans="1:28" x14ac:dyDescent="0.2">
      <c r="B61" t="s">
        <v>97</v>
      </c>
      <c r="S61" s="41"/>
    </row>
    <row r="62" spans="1:28" x14ac:dyDescent="0.2">
      <c r="B62" s="201" t="s">
        <v>212</v>
      </c>
      <c r="S62" s="41"/>
    </row>
    <row r="63" spans="1:28" x14ac:dyDescent="0.2">
      <c r="B63" s="201" t="s">
        <v>213</v>
      </c>
      <c r="S63" s="41"/>
    </row>
    <row r="64" spans="1:28" x14ac:dyDescent="0.2">
      <c r="S64" s="41"/>
    </row>
    <row r="65" spans="1:16" x14ac:dyDescent="0.2">
      <c r="A65" s="43">
        <v>1</v>
      </c>
      <c r="B65" s="60" t="s">
        <v>52</v>
      </c>
    </row>
    <row r="66" spans="1:16" x14ac:dyDescent="0.2">
      <c r="A66" s="43"/>
      <c r="B66" s="51" t="s">
        <v>53</v>
      </c>
    </row>
    <row r="67" spans="1:16" x14ac:dyDescent="0.2">
      <c r="A67" s="43"/>
      <c r="B67" s="201" t="s">
        <v>236</v>
      </c>
    </row>
    <row r="69" spans="1:16" x14ac:dyDescent="0.2">
      <c r="A69" s="43">
        <v>2</v>
      </c>
      <c r="B69" s="60" t="s">
        <v>35</v>
      </c>
    </row>
    <row r="70" spans="1:16" x14ac:dyDescent="0.2">
      <c r="A70" s="43"/>
      <c r="B70" s="201" t="s">
        <v>237</v>
      </c>
    </row>
    <row r="71" spans="1:16" x14ac:dyDescent="0.2">
      <c r="B71" s="201" t="s">
        <v>238</v>
      </c>
    </row>
    <row r="72" spans="1:16" x14ac:dyDescent="0.2">
      <c r="L72" s="297" t="s">
        <v>80</v>
      </c>
      <c r="M72" s="297"/>
      <c r="N72" s="297"/>
      <c r="O72" s="297"/>
      <c r="P72" s="297"/>
    </row>
    <row r="73" spans="1:16" x14ac:dyDescent="0.2">
      <c r="A73" s="43" t="s">
        <v>176</v>
      </c>
      <c r="L73" s="1" t="s">
        <v>0</v>
      </c>
    </row>
    <row r="74" spans="1:16" x14ac:dyDescent="0.2">
      <c r="A74" s="43"/>
      <c r="B74" s="60" t="s">
        <v>36</v>
      </c>
      <c r="L74" s="4" t="s">
        <v>1</v>
      </c>
      <c r="N74" s="7">
        <v>4</v>
      </c>
      <c r="O74" s="7">
        <v>5</v>
      </c>
      <c r="P74" s="7">
        <v>6</v>
      </c>
    </row>
    <row r="75" spans="1:16" ht="13.5" thickBot="1" x14ac:dyDescent="0.25">
      <c r="B75" t="s">
        <v>40</v>
      </c>
      <c r="L75" s="1" t="s">
        <v>4</v>
      </c>
      <c r="N75" s="3"/>
      <c r="O75" s="3"/>
      <c r="P75" s="3"/>
    </row>
    <row r="76" spans="1:16" ht="13.5" thickBot="1" x14ac:dyDescent="0.25">
      <c r="A76" s="43"/>
      <c r="B76" t="s">
        <v>81</v>
      </c>
      <c r="L76" s="27" t="s">
        <v>37</v>
      </c>
      <c r="N76" s="30">
        <f>'Data Sheet'!E128</f>
        <v>0</v>
      </c>
      <c r="O76" s="30">
        <v>0</v>
      </c>
      <c r="P76" s="45">
        <v>7</v>
      </c>
    </row>
    <row r="77" spans="1:16" ht="13.5" thickBot="1" x14ac:dyDescent="0.25">
      <c r="A77" s="43"/>
      <c r="B77" t="s">
        <v>83</v>
      </c>
      <c r="L77" s="27" t="s">
        <v>38</v>
      </c>
      <c r="N77" s="30">
        <f>'Data Sheet'!L128</f>
        <v>0</v>
      </c>
      <c r="O77" s="45">
        <v>5</v>
      </c>
      <c r="P77" s="30"/>
    </row>
    <row r="78" spans="1:16" ht="13.5" thickBot="1" x14ac:dyDescent="0.25">
      <c r="A78" s="43"/>
      <c r="B78" t="s">
        <v>82</v>
      </c>
      <c r="L78" s="27" t="s">
        <v>39</v>
      </c>
      <c r="N78" s="45">
        <v>5</v>
      </c>
      <c r="O78" s="30"/>
      <c r="P78" s="30"/>
    </row>
    <row r="79" spans="1:16" x14ac:dyDescent="0.2">
      <c r="A79" s="43"/>
      <c r="B79" t="s">
        <v>84</v>
      </c>
    </row>
    <row r="80" spans="1:16" x14ac:dyDescent="0.2">
      <c r="A80" s="43"/>
      <c r="B80" t="s">
        <v>85</v>
      </c>
    </row>
    <row r="81" spans="1:16" x14ac:dyDescent="0.2">
      <c r="A81" s="43"/>
      <c r="B81" s="201" t="s">
        <v>200</v>
      </c>
    </row>
    <row r="82" spans="1:16" x14ac:dyDescent="0.2">
      <c r="B82" s="201" t="s">
        <v>195</v>
      </c>
      <c r="L82" s="9"/>
      <c r="N82" s="11"/>
      <c r="O82" s="11"/>
      <c r="P82" s="11"/>
    </row>
    <row r="83" spans="1:16" x14ac:dyDescent="0.2">
      <c r="B83" s="201" t="s">
        <v>198</v>
      </c>
      <c r="O83" s="11"/>
      <c r="P83" s="11"/>
    </row>
    <row r="84" spans="1:16" x14ac:dyDescent="0.2">
      <c r="B84" s="252" t="s">
        <v>197</v>
      </c>
      <c r="M84" s="9" t="s">
        <v>5</v>
      </c>
      <c r="N84" s="11"/>
      <c r="O84" s="11"/>
      <c r="P84" s="11"/>
    </row>
    <row r="85" spans="1:16" x14ac:dyDescent="0.2">
      <c r="L85" s="12" t="s">
        <v>1</v>
      </c>
      <c r="N85" s="7">
        <v>4</v>
      </c>
      <c r="O85" s="7">
        <v>5</v>
      </c>
      <c r="P85" s="7">
        <v>6</v>
      </c>
    </row>
    <row r="86" spans="1:16" x14ac:dyDescent="0.2">
      <c r="B86" t="s">
        <v>51</v>
      </c>
      <c r="L86" s="9" t="s">
        <v>4</v>
      </c>
      <c r="N86" s="13"/>
      <c r="O86" s="13"/>
      <c r="P86" s="13"/>
    </row>
    <row r="87" spans="1:16" x14ac:dyDescent="0.2">
      <c r="B87" t="s">
        <v>91</v>
      </c>
      <c r="L87" s="9" t="str">
        <f>"Wastage = "&amp;(RIGHT(L77,2))&amp;" -"&amp;(RIGHT(L76,2))</f>
        <v>Wastage =  B - C</v>
      </c>
      <c r="N87" s="11">
        <f>+H87-N76</f>
        <v>0</v>
      </c>
      <c r="O87" s="11">
        <f>+N77-O76</f>
        <v>0</v>
      </c>
      <c r="P87" s="149">
        <f>+O77-P76</f>
        <v>-2</v>
      </c>
    </row>
    <row r="88" spans="1:16" x14ac:dyDescent="0.2">
      <c r="C88" s="1" t="s">
        <v>92</v>
      </c>
      <c r="L88" s="9" t="str">
        <f>"Wastage = "&amp;(RIGHT(L78,2))&amp;" -"&amp;(RIGHT(L77,2))</f>
        <v>Wastage =  A - B</v>
      </c>
      <c r="N88" s="11">
        <f>+H88-N77</f>
        <v>0</v>
      </c>
      <c r="O88" s="11">
        <f>+N78-O77</f>
        <v>0</v>
      </c>
      <c r="P88" s="11">
        <f>+O78-P77</f>
        <v>0</v>
      </c>
    </row>
    <row r="89" spans="1:16" x14ac:dyDescent="0.2">
      <c r="D89" s="151" t="s">
        <v>10</v>
      </c>
      <c r="E89" s="150" t="s">
        <v>90</v>
      </c>
      <c r="F89" s="110">
        <v>1.1811391223155927</v>
      </c>
      <c r="L89" s="9" t="s">
        <v>6</v>
      </c>
      <c r="N89" s="14">
        <f>SUM(N87:N88)</f>
        <v>0</v>
      </c>
      <c r="O89" s="14">
        <f>SUM(O87:O88)</f>
        <v>0</v>
      </c>
      <c r="P89" s="14">
        <f>SUM(P87:P88)</f>
        <v>-2</v>
      </c>
    </row>
    <row r="90" spans="1:16" x14ac:dyDescent="0.2">
      <c r="P90" s="46" t="str">
        <f>IF(P89&lt;0,"Error - Neg!","")</f>
        <v>Error - Neg!</v>
      </c>
    </row>
    <row r="91" spans="1:16" x14ac:dyDescent="0.2">
      <c r="B91" t="s">
        <v>101</v>
      </c>
      <c r="P91" s="46"/>
    </row>
    <row r="92" spans="1:16" x14ac:dyDescent="0.2">
      <c r="B92" t="s">
        <v>103</v>
      </c>
      <c r="P92" s="46"/>
    </row>
    <row r="93" spans="1:16" x14ac:dyDescent="0.2">
      <c r="P93" s="46"/>
    </row>
    <row r="94" spans="1:16" x14ac:dyDescent="0.2">
      <c r="A94" s="43">
        <v>5</v>
      </c>
      <c r="B94" s="60" t="s">
        <v>41</v>
      </c>
      <c r="P94" s="46"/>
    </row>
    <row r="95" spans="1:16" x14ac:dyDescent="0.2">
      <c r="B95" t="s">
        <v>113</v>
      </c>
      <c r="P95" s="46"/>
    </row>
    <row r="96" spans="1:16" x14ac:dyDescent="0.2">
      <c r="B96" t="s">
        <v>150</v>
      </c>
      <c r="P96" s="46"/>
    </row>
    <row r="97" spans="1:17" x14ac:dyDescent="0.2">
      <c r="A97" s="43"/>
    </row>
    <row r="98" spans="1:17" x14ac:dyDescent="0.2">
      <c r="A98" s="43">
        <v>4</v>
      </c>
      <c r="B98" s="60" t="s">
        <v>14</v>
      </c>
    </row>
    <row r="99" spans="1:17" x14ac:dyDescent="0.2">
      <c r="B99" t="s">
        <v>107</v>
      </c>
    </row>
    <row r="100" spans="1:17" x14ac:dyDescent="0.2">
      <c r="B100" t="s">
        <v>106</v>
      </c>
    </row>
    <row r="101" spans="1:17" x14ac:dyDescent="0.2">
      <c r="B101" t="s">
        <v>89</v>
      </c>
    </row>
    <row r="102" spans="1:17" x14ac:dyDescent="0.2">
      <c r="B102" t="s">
        <v>100</v>
      </c>
    </row>
    <row r="104" spans="1:17" x14ac:dyDescent="0.2">
      <c r="B104" s="201" t="s">
        <v>204</v>
      </c>
    </row>
    <row r="105" spans="1:17" x14ac:dyDescent="0.2">
      <c r="B105" s="201" t="s">
        <v>205</v>
      </c>
    </row>
    <row r="106" spans="1:17" x14ac:dyDescent="0.2">
      <c r="B106" s="60" t="s">
        <v>87</v>
      </c>
    </row>
    <row r="107" spans="1:17" ht="103.15" customHeight="1" x14ac:dyDescent="0.2">
      <c r="B107" s="295" t="s">
        <v>117</v>
      </c>
      <c r="C107" s="293"/>
      <c r="D107" s="293"/>
      <c r="E107" s="293"/>
      <c r="F107" s="293"/>
      <c r="G107" s="293"/>
      <c r="H107" s="293"/>
      <c r="I107" s="293"/>
      <c r="J107" s="293"/>
      <c r="K107" s="293"/>
      <c r="L107" s="293"/>
      <c r="M107" s="293"/>
      <c r="N107" s="293"/>
      <c r="O107" s="293"/>
      <c r="P107" s="293"/>
      <c r="Q107" s="293"/>
    </row>
    <row r="109" spans="1:17" x14ac:dyDescent="0.2">
      <c r="B109" s="60" t="s">
        <v>62</v>
      </c>
    </row>
    <row r="110" spans="1:17" x14ac:dyDescent="0.2">
      <c r="B110" t="s">
        <v>122</v>
      </c>
    </row>
    <row r="111" spans="1:17" x14ac:dyDescent="0.2">
      <c r="B111" s="65" t="s">
        <v>55</v>
      </c>
      <c r="C111" s="47"/>
      <c r="D111" s="47"/>
      <c r="E111" s="47"/>
      <c r="F111" s="47"/>
      <c r="G111" s="47"/>
      <c r="H111" s="47"/>
      <c r="I111" s="47"/>
      <c r="J111" s="47"/>
      <c r="K111" s="47"/>
      <c r="L111" s="47"/>
      <c r="M111" s="47"/>
      <c r="N111" s="47"/>
      <c r="O111" s="47"/>
      <c r="P111" s="47"/>
      <c r="Q111" s="47"/>
    </row>
    <row r="112" spans="1:17" ht="25.9" customHeight="1" x14ac:dyDescent="0.2">
      <c r="B112" s="295" t="s">
        <v>56</v>
      </c>
      <c r="C112" s="293"/>
      <c r="D112" s="293"/>
      <c r="E112" s="293"/>
      <c r="F112" s="293"/>
      <c r="G112" s="293"/>
      <c r="H112" s="293"/>
      <c r="I112" s="293"/>
      <c r="J112" s="293"/>
      <c r="K112" s="293"/>
      <c r="L112" s="293"/>
      <c r="M112" s="293"/>
      <c r="N112" s="293"/>
      <c r="O112" s="293"/>
      <c r="P112" s="293"/>
      <c r="Q112" s="293"/>
    </row>
    <row r="113" spans="1:18" ht="43.9" customHeight="1" x14ac:dyDescent="0.2">
      <c r="B113" s="47"/>
      <c r="C113" s="294" t="s">
        <v>57</v>
      </c>
      <c r="D113" s="294"/>
      <c r="E113" s="294"/>
      <c r="F113" s="294"/>
      <c r="G113" s="294"/>
      <c r="H113" s="294"/>
      <c r="I113" s="294"/>
      <c r="J113" s="294"/>
      <c r="K113" s="294"/>
      <c r="L113" s="294"/>
      <c r="M113" s="294"/>
      <c r="N113" s="294"/>
      <c r="O113" s="294"/>
      <c r="P113" s="294"/>
      <c r="Q113" s="66"/>
      <c r="R113" s="64"/>
    </row>
    <row r="114" spans="1:18" ht="40.15" customHeight="1" x14ac:dyDescent="0.2">
      <c r="B114" s="47"/>
      <c r="C114" s="294" t="s">
        <v>58</v>
      </c>
      <c r="D114" s="294"/>
      <c r="E114" s="294"/>
      <c r="F114" s="294"/>
      <c r="G114" s="294"/>
      <c r="H114" s="294"/>
      <c r="I114" s="294"/>
      <c r="J114" s="294"/>
      <c r="K114" s="294"/>
      <c r="L114" s="294"/>
      <c r="M114" s="294"/>
      <c r="N114" s="294"/>
      <c r="O114" s="294"/>
      <c r="P114" s="294"/>
      <c r="Q114" s="67"/>
    </row>
    <row r="115" spans="1:18" ht="40.15" customHeight="1" x14ac:dyDescent="0.2">
      <c r="B115" s="47"/>
      <c r="C115" s="294" t="s">
        <v>59</v>
      </c>
      <c r="D115" s="294"/>
      <c r="E115" s="294"/>
      <c r="F115" s="294"/>
      <c r="G115" s="294"/>
      <c r="H115" s="294"/>
      <c r="I115" s="294"/>
      <c r="J115" s="294"/>
      <c r="K115" s="294"/>
      <c r="L115" s="294"/>
      <c r="M115" s="294"/>
      <c r="N115" s="294"/>
      <c r="O115" s="294"/>
      <c r="P115" s="294"/>
      <c r="Q115" s="67"/>
    </row>
    <row r="116" spans="1:18" x14ac:dyDescent="0.2">
      <c r="B116" s="68" t="s">
        <v>60</v>
      </c>
      <c r="C116" s="47"/>
      <c r="D116" s="47"/>
      <c r="E116" s="47"/>
      <c r="F116" s="47"/>
      <c r="G116" s="47"/>
      <c r="H116" s="47"/>
      <c r="I116" s="47"/>
      <c r="J116" s="47"/>
      <c r="K116" s="47"/>
      <c r="L116" s="47"/>
      <c r="M116" s="47"/>
      <c r="N116" s="47"/>
      <c r="O116" s="47"/>
      <c r="P116" s="47"/>
      <c r="Q116" s="47"/>
    </row>
    <row r="117" spans="1:18" ht="54.6" customHeight="1" x14ac:dyDescent="0.2">
      <c r="B117" s="295" t="s">
        <v>61</v>
      </c>
      <c r="C117" s="293"/>
      <c r="D117" s="293"/>
      <c r="E117" s="293"/>
      <c r="F117" s="293"/>
      <c r="G117" s="293"/>
      <c r="H117" s="293"/>
      <c r="I117" s="293"/>
      <c r="J117" s="293"/>
      <c r="K117" s="293"/>
      <c r="L117" s="293"/>
      <c r="M117" s="293"/>
      <c r="N117" s="293"/>
      <c r="O117" s="293"/>
      <c r="P117" s="293"/>
      <c r="Q117" s="293"/>
    </row>
    <row r="118" spans="1:18" ht="10.5" customHeight="1" x14ac:dyDescent="0.2"/>
    <row r="119" spans="1:18" x14ac:dyDescent="0.2">
      <c r="B119" t="s">
        <v>67</v>
      </c>
    </row>
    <row r="120" spans="1:18" x14ac:dyDescent="0.2">
      <c r="B120" t="s">
        <v>66</v>
      </c>
    </row>
    <row r="121" spans="1:18" x14ac:dyDescent="0.2">
      <c r="B121" t="s">
        <v>68</v>
      </c>
    </row>
    <row r="122" spans="1:18" x14ac:dyDescent="0.2">
      <c r="B122" t="s">
        <v>71</v>
      </c>
    </row>
    <row r="123" spans="1:18" x14ac:dyDescent="0.2">
      <c r="B123" t="s">
        <v>70</v>
      </c>
    </row>
    <row r="124" spans="1:18" x14ac:dyDescent="0.2">
      <c r="B124" t="s">
        <v>126</v>
      </c>
    </row>
    <row r="125" spans="1:18" x14ac:dyDescent="0.2">
      <c r="B125" t="s">
        <v>75</v>
      </c>
    </row>
    <row r="126" spans="1:18" x14ac:dyDescent="0.2">
      <c r="B126" t="s">
        <v>69</v>
      </c>
    </row>
    <row r="127" spans="1:18" x14ac:dyDescent="0.2">
      <c r="A127" s="43"/>
      <c r="B127" s="51"/>
      <c r="C127" s="51"/>
      <c r="D127" s="51"/>
      <c r="E127" s="51"/>
      <c r="F127" s="51"/>
    </row>
    <row r="128" spans="1:18" x14ac:dyDescent="0.2">
      <c r="A128" s="204"/>
      <c r="B128" s="60" t="s">
        <v>104</v>
      </c>
    </row>
    <row r="129" spans="1:17" x14ac:dyDescent="0.2">
      <c r="A129" s="204"/>
      <c r="B129" s="51" t="s">
        <v>54</v>
      </c>
      <c r="C129" s="51"/>
      <c r="D129" s="51"/>
      <c r="E129" s="51"/>
      <c r="F129" s="51"/>
    </row>
    <row r="130" spans="1:17" x14ac:dyDescent="0.2">
      <c r="A130" s="204"/>
      <c r="B130" s="61" t="s">
        <v>144</v>
      </c>
      <c r="C130" s="62"/>
      <c r="D130" s="62"/>
      <c r="E130" s="62"/>
      <c r="F130" s="62"/>
      <c r="G130" s="47"/>
      <c r="H130" s="47"/>
      <c r="I130" s="47"/>
      <c r="J130" s="47"/>
      <c r="K130" s="47"/>
      <c r="L130" s="47"/>
      <c r="M130" s="47"/>
      <c r="N130" s="47"/>
      <c r="O130" s="47"/>
      <c r="P130" s="47"/>
      <c r="Q130" s="47"/>
    </row>
    <row r="131" spans="1:17" x14ac:dyDescent="0.2">
      <c r="A131" s="204"/>
      <c r="B131" s="63" t="s">
        <v>191</v>
      </c>
      <c r="C131" s="62"/>
      <c r="D131" s="62"/>
      <c r="E131" s="62"/>
      <c r="F131" s="62"/>
      <c r="G131" s="47"/>
      <c r="H131" s="47"/>
      <c r="I131" s="47"/>
      <c r="J131" s="47"/>
      <c r="K131" s="47"/>
      <c r="L131" s="47"/>
      <c r="M131" s="47"/>
      <c r="N131" s="47"/>
      <c r="O131" s="47"/>
      <c r="P131" s="47"/>
      <c r="Q131" s="47"/>
    </row>
    <row r="132" spans="1:17" x14ac:dyDescent="0.2">
      <c r="A132" s="204"/>
      <c r="B132" s="63" t="s">
        <v>145</v>
      </c>
      <c r="C132" s="62"/>
      <c r="D132" s="62"/>
      <c r="E132" s="62"/>
      <c r="F132" s="62"/>
      <c r="G132" s="47"/>
      <c r="H132" s="47"/>
      <c r="I132" s="47"/>
      <c r="J132" s="47"/>
      <c r="K132" s="47"/>
      <c r="L132" s="47"/>
      <c r="M132" s="47"/>
      <c r="N132" s="47"/>
      <c r="O132" s="47"/>
      <c r="P132" s="47"/>
      <c r="Q132" s="47"/>
    </row>
    <row r="133" spans="1:17" x14ac:dyDescent="0.2">
      <c r="A133" s="204"/>
      <c r="B133" s="63" t="s">
        <v>146</v>
      </c>
      <c r="C133" s="62"/>
      <c r="D133" s="62"/>
      <c r="E133" s="62"/>
      <c r="F133" s="62"/>
      <c r="G133" s="62"/>
      <c r="H133" s="62"/>
      <c r="I133" s="62"/>
      <c r="J133" s="62"/>
      <c r="K133" s="62"/>
      <c r="L133" s="62"/>
      <c r="M133" s="62"/>
      <c r="N133" s="62"/>
      <c r="O133" s="47"/>
      <c r="P133" s="47"/>
      <c r="Q133" s="47"/>
    </row>
    <row r="134" spans="1:17" x14ac:dyDescent="0.2">
      <c r="A134" s="204"/>
      <c r="B134" s="63" t="s">
        <v>147</v>
      </c>
      <c r="C134" s="62"/>
      <c r="D134" s="62"/>
      <c r="E134" s="62"/>
      <c r="F134" s="62"/>
      <c r="G134" s="62"/>
      <c r="H134" s="62"/>
      <c r="I134" s="62"/>
      <c r="J134" s="62"/>
      <c r="K134" s="62"/>
      <c r="L134" s="62"/>
      <c r="M134" s="62"/>
      <c r="N134" s="62"/>
      <c r="O134" s="47"/>
      <c r="P134" s="47"/>
      <c r="Q134" s="47"/>
    </row>
    <row r="135" spans="1:17" x14ac:dyDescent="0.2">
      <c r="A135" s="204"/>
      <c r="B135" s="47"/>
      <c r="C135" s="62" t="s">
        <v>148</v>
      </c>
      <c r="D135" s="62"/>
      <c r="E135" s="62"/>
      <c r="F135" s="62"/>
      <c r="G135" s="47"/>
      <c r="H135" s="47"/>
      <c r="I135" s="47"/>
      <c r="J135" s="47"/>
      <c r="K135" s="47"/>
      <c r="L135" s="47"/>
      <c r="M135" s="47"/>
      <c r="N135" s="47"/>
      <c r="O135" s="47"/>
      <c r="P135" s="47"/>
      <c r="Q135" s="47"/>
    </row>
    <row r="136" spans="1:17" x14ac:dyDescent="0.2">
      <c r="A136" s="205"/>
      <c r="B136" s="61" t="s">
        <v>149</v>
      </c>
      <c r="C136" s="62"/>
      <c r="D136" s="62"/>
      <c r="E136" s="62"/>
      <c r="F136" s="62"/>
      <c r="G136" s="47"/>
      <c r="H136" s="47"/>
      <c r="I136" s="47"/>
      <c r="J136" s="47"/>
      <c r="K136" s="47"/>
      <c r="L136" s="47"/>
      <c r="M136" s="47"/>
      <c r="N136" s="47"/>
      <c r="O136" s="47"/>
      <c r="P136" s="47"/>
      <c r="Q136" s="47"/>
    </row>
    <row r="137" spans="1:17" ht="9" customHeight="1" x14ac:dyDescent="0.2">
      <c r="A137" s="204"/>
    </row>
    <row r="138" spans="1:17" x14ac:dyDescent="0.2">
      <c r="A138" s="204"/>
      <c r="B138" t="s">
        <v>64</v>
      </c>
    </row>
    <row r="139" spans="1:17" x14ac:dyDescent="0.2">
      <c r="A139" s="204"/>
      <c r="B139" t="s">
        <v>127</v>
      </c>
    </row>
    <row r="140" spans="1:17" x14ac:dyDescent="0.2">
      <c r="A140" s="204"/>
      <c r="B140" t="s">
        <v>109</v>
      </c>
    </row>
    <row r="141" spans="1:17" x14ac:dyDescent="0.2">
      <c r="A141" s="204"/>
      <c r="B141" t="s">
        <v>108</v>
      </c>
    </row>
    <row r="142" spans="1:17" x14ac:dyDescent="0.2">
      <c r="A142" s="204"/>
      <c r="B142" t="s">
        <v>124</v>
      </c>
    </row>
    <row r="143" spans="1:17" x14ac:dyDescent="0.2">
      <c r="A143" s="204"/>
    </row>
    <row r="144" spans="1:17" x14ac:dyDescent="0.2">
      <c r="A144" s="204"/>
      <c r="B144" t="s">
        <v>65</v>
      </c>
    </row>
    <row r="145" spans="1:17" x14ac:dyDescent="0.2">
      <c r="A145" s="204"/>
      <c r="B145" t="s">
        <v>72</v>
      </c>
    </row>
    <row r="146" spans="1:17" x14ac:dyDescent="0.2">
      <c r="A146" s="204"/>
      <c r="B146" t="s">
        <v>110</v>
      </c>
    </row>
    <row r="147" spans="1:17" x14ac:dyDescent="0.2">
      <c r="A147" s="204"/>
      <c r="B147" t="s">
        <v>111</v>
      </c>
    </row>
    <row r="148" spans="1:17" x14ac:dyDescent="0.2">
      <c r="A148" s="204"/>
      <c r="B148" t="s">
        <v>112</v>
      </c>
    </row>
    <row r="149" spans="1:17" x14ac:dyDescent="0.2">
      <c r="A149" s="204"/>
      <c r="B149" t="s">
        <v>114</v>
      </c>
    </row>
    <row r="150" spans="1:17" x14ac:dyDescent="0.2">
      <c r="A150" s="204"/>
    </row>
    <row r="151" spans="1:17" x14ac:dyDescent="0.2">
      <c r="A151" s="204"/>
      <c r="B151" t="s">
        <v>73</v>
      </c>
    </row>
    <row r="152" spans="1:17" x14ac:dyDescent="0.2">
      <c r="A152" s="204"/>
      <c r="B152" t="s">
        <v>105</v>
      </c>
    </row>
    <row r="154" spans="1:17" x14ac:dyDescent="0.2">
      <c r="B154" s="60" t="s">
        <v>116</v>
      </c>
    </row>
    <row r="155" spans="1:17" x14ac:dyDescent="0.2">
      <c r="B155" t="s">
        <v>128</v>
      </c>
    </row>
    <row r="156" spans="1:17" x14ac:dyDescent="0.2">
      <c r="B156" s="201" t="s">
        <v>160</v>
      </c>
    </row>
    <row r="159" spans="1:17" x14ac:dyDescent="0.2">
      <c r="A159" s="257"/>
      <c r="B159" s="172" t="s">
        <v>175</v>
      </c>
      <c r="C159" s="173"/>
      <c r="D159" s="173"/>
      <c r="E159" s="173"/>
      <c r="F159" s="173"/>
      <c r="G159" s="173"/>
      <c r="H159" s="173"/>
      <c r="I159" s="173"/>
      <c r="J159" s="173"/>
      <c r="K159" s="173"/>
      <c r="L159" s="173"/>
      <c r="M159" s="173"/>
      <c r="N159" s="173"/>
      <c r="O159" s="173"/>
      <c r="P159" s="173"/>
      <c r="Q159" s="173"/>
    </row>
    <row r="160" spans="1:17" x14ac:dyDescent="0.2">
      <c r="A160" s="258"/>
      <c r="B160" t="s">
        <v>123</v>
      </c>
    </row>
    <row r="161" spans="1:17" x14ac:dyDescent="0.2">
      <c r="A161" s="258"/>
      <c r="B161" t="s">
        <v>125</v>
      </c>
    </row>
    <row r="162" spans="1:17" x14ac:dyDescent="0.2">
      <c r="A162" s="258"/>
    </row>
    <row r="163" spans="1:17" ht="94.15" customHeight="1" x14ac:dyDescent="0.2">
      <c r="A163" s="258"/>
      <c r="B163" s="293" t="s">
        <v>43</v>
      </c>
      <c r="C163" s="293"/>
      <c r="D163" s="293"/>
      <c r="E163" s="293"/>
      <c r="F163" s="293"/>
      <c r="G163" s="293"/>
      <c r="H163" s="293"/>
      <c r="I163" s="293"/>
      <c r="J163" s="293"/>
      <c r="K163" s="293"/>
      <c r="L163" s="293"/>
      <c r="M163" s="293"/>
      <c r="N163" s="293"/>
      <c r="O163" s="293"/>
      <c r="P163" s="293"/>
      <c r="Q163" s="293"/>
    </row>
    <row r="164" spans="1:17" ht="43.9" customHeight="1" x14ac:dyDescent="0.2">
      <c r="A164" s="258"/>
      <c r="B164" s="292" t="s">
        <v>181</v>
      </c>
      <c r="C164" s="293"/>
      <c r="D164" s="293"/>
      <c r="E164" s="293"/>
      <c r="F164" s="293"/>
      <c r="G164" s="293"/>
      <c r="H164" s="293"/>
      <c r="I164" s="293"/>
      <c r="J164" s="293"/>
      <c r="K164" s="293"/>
      <c r="L164" s="293"/>
      <c r="M164" s="293"/>
      <c r="N164" s="293"/>
      <c r="O164" s="293"/>
      <c r="P164" s="293"/>
      <c r="Q164" s="293"/>
    </row>
    <row r="165" spans="1:17" x14ac:dyDescent="0.2">
      <c r="A165" s="258"/>
    </row>
    <row r="166" spans="1:17" x14ac:dyDescent="0.2">
      <c r="A166" s="258"/>
      <c r="B166" s="51" t="s">
        <v>50</v>
      </c>
      <c r="C166" s="51"/>
      <c r="D166" s="51"/>
      <c r="E166" s="51"/>
      <c r="F166" s="51"/>
      <c r="G166" s="51"/>
      <c r="H166" s="51"/>
      <c r="I166" s="51"/>
    </row>
    <row r="167" spans="1:17" ht="13.5" x14ac:dyDescent="0.25">
      <c r="A167" s="258"/>
      <c r="B167" s="61" t="s">
        <v>192</v>
      </c>
      <c r="C167" s="62"/>
      <c r="D167" s="62"/>
      <c r="E167" s="62"/>
      <c r="F167" s="62"/>
      <c r="G167" s="62"/>
      <c r="H167" s="62"/>
      <c r="I167" s="62"/>
      <c r="J167" s="47"/>
      <c r="K167" s="47"/>
      <c r="L167" s="47"/>
      <c r="M167" s="47"/>
      <c r="N167" s="47"/>
      <c r="O167" s="47"/>
      <c r="P167" s="47"/>
      <c r="Q167" s="47"/>
    </row>
    <row r="168" spans="1:17" x14ac:dyDescent="0.2">
      <c r="A168" s="258"/>
      <c r="B168" s="63" t="s">
        <v>46</v>
      </c>
      <c r="C168" s="62"/>
      <c r="D168" s="62"/>
      <c r="E168" s="62"/>
      <c r="F168" s="62"/>
      <c r="G168" s="62"/>
      <c r="H168" s="62"/>
      <c r="I168" s="62"/>
      <c r="J168" s="47"/>
      <c r="K168" s="47"/>
      <c r="L168" s="47"/>
      <c r="M168" s="47"/>
      <c r="N168" s="47"/>
      <c r="O168" s="47"/>
      <c r="P168" s="47"/>
      <c r="Q168" s="47"/>
    </row>
    <row r="169" spans="1:17" x14ac:dyDescent="0.2">
      <c r="A169" s="258"/>
      <c r="B169" s="63" t="s">
        <v>47</v>
      </c>
      <c r="C169" s="62"/>
      <c r="D169" s="62"/>
      <c r="E169" s="62"/>
      <c r="F169" s="62"/>
      <c r="G169" s="62"/>
      <c r="H169" s="62"/>
      <c r="I169" s="62"/>
      <c r="J169" s="47"/>
      <c r="K169" s="47"/>
      <c r="L169" s="47"/>
      <c r="M169" s="47"/>
      <c r="N169" s="47"/>
      <c r="O169" s="47"/>
      <c r="P169" s="47"/>
      <c r="Q169" s="47"/>
    </row>
    <row r="170" spans="1:17" x14ac:dyDescent="0.2">
      <c r="A170" s="258"/>
      <c r="B170" s="63" t="s">
        <v>48</v>
      </c>
      <c r="C170" s="62"/>
      <c r="D170" s="62"/>
      <c r="E170" s="62"/>
      <c r="F170" s="62"/>
      <c r="G170" s="62"/>
      <c r="H170" s="62"/>
      <c r="I170" s="62"/>
      <c r="J170" s="47"/>
      <c r="K170" s="47"/>
      <c r="L170" s="47"/>
      <c r="M170" s="47"/>
      <c r="N170" s="47"/>
      <c r="O170" s="47"/>
      <c r="P170" s="47"/>
      <c r="Q170" s="47"/>
    </row>
    <row r="171" spans="1:17" x14ac:dyDescent="0.2">
      <c r="A171" s="258"/>
      <c r="B171" s="61" t="s">
        <v>49</v>
      </c>
      <c r="C171" s="62"/>
      <c r="D171" s="62"/>
      <c r="E171" s="62"/>
      <c r="F171" s="62"/>
      <c r="G171" s="62"/>
      <c r="H171" s="62"/>
      <c r="I171" s="62"/>
      <c r="J171" s="47"/>
      <c r="K171" s="47"/>
      <c r="L171" s="47"/>
      <c r="M171" s="47"/>
      <c r="N171" s="47"/>
      <c r="O171" s="47"/>
      <c r="P171" s="47"/>
      <c r="Q171" s="47"/>
    </row>
    <row r="172" spans="1:17" x14ac:dyDescent="0.2">
      <c r="A172" s="258"/>
      <c r="C172" s="51"/>
      <c r="D172" s="51"/>
      <c r="E172" s="51"/>
      <c r="F172" s="51"/>
      <c r="G172" s="51"/>
      <c r="H172" s="51"/>
      <c r="I172" s="51"/>
    </row>
    <row r="173" spans="1:17" x14ac:dyDescent="0.2">
      <c r="A173" s="258"/>
      <c r="B173" t="s">
        <v>99</v>
      </c>
    </row>
    <row r="174" spans="1:17" x14ac:dyDescent="0.2">
      <c r="A174" s="258"/>
      <c r="B174" t="s">
        <v>121</v>
      </c>
    </row>
    <row r="175" spans="1:17" x14ac:dyDescent="0.2">
      <c r="A175" s="258"/>
      <c r="B175" t="s">
        <v>154</v>
      </c>
    </row>
    <row r="176" spans="1:17" x14ac:dyDescent="0.2">
      <c r="A176" s="258"/>
    </row>
    <row r="177" spans="1:10" x14ac:dyDescent="0.2">
      <c r="A177" s="258"/>
      <c r="B177" s="48" t="s">
        <v>174</v>
      </c>
    </row>
    <row r="178" spans="1:10" x14ac:dyDescent="0.2">
      <c r="A178" s="257"/>
      <c r="B178" t="s">
        <v>76</v>
      </c>
    </row>
    <row r="179" spans="1:10" x14ac:dyDescent="0.2">
      <c r="A179" s="257"/>
      <c r="B179" t="s">
        <v>77</v>
      </c>
    </row>
    <row r="180" spans="1:10" x14ac:dyDescent="0.2">
      <c r="A180" s="257"/>
      <c r="B180" t="s">
        <v>98</v>
      </c>
    </row>
    <row r="181" spans="1:10" x14ac:dyDescent="0.2">
      <c r="A181" s="257"/>
      <c r="B181" s="203" t="s">
        <v>157</v>
      </c>
      <c r="C181" s="202"/>
      <c r="D181" s="202"/>
      <c r="E181" s="202"/>
      <c r="F181" s="202"/>
      <c r="G181" s="202"/>
      <c r="H181" s="202"/>
      <c r="I181" s="202"/>
      <c r="J181" s="202"/>
    </row>
    <row r="182" spans="1:10" x14ac:dyDescent="0.2">
      <c r="A182" s="257"/>
      <c r="B182" s="203" t="s">
        <v>214</v>
      </c>
      <c r="C182" s="202"/>
      <c r="D182" s="202"/>
      <c r="E182" s="202"/>
      <c r="F182" s="202"/>
      <c r="G182" s="202"/>
      <c r="H182" s="202"/>
      <c r="I182" s="202"/>
      <c r="J182" s="202"/>
    </row>
    <row r="183" spans="1:10" x14ac:dyDescent="0.2">
      <c r="A183" s="257"/>
      <c r="B183" s="203"/>
      <c r="C183" s="202"/>
      <c r="D183" s="202"/>
      <c r="E183" s="202"/>
      <c r="F183" s="202"/>
      <c r="G183" s="202"/>
      <c r="H183" s="202"/>
      <c r="I183" s="202"/>
      <c r="J183" s="202"/>
    </row>
    <row r="184" spans="1:10" x14ac:dyDescent="0.2">
      <c r="A184" s="257"/>
      <c r="B184" s="48" t="s">
        <v>78</v>
      </c>
    </row>
    <row r="185" spans="1:10" x14ac:dyDescent="0.2">
      <c r="A185" s="257"/>
      <c r="B185" t="s">
        <v>102</v>
      </c>
    </row>
    <row r="186" spans="1:10" x14ac:dyDescent="0.2">
      <c r="A186" s="258"/>
      <c r="B186" s="201" t="s">
        <v>182</v>
      </c>
    </row>
    <row r="198" spans="4:4" x14ac:dyDescent="0.2">
      <c r="D198" s="197"/>
    </row>
  </sheetData>
  <mergeCells count="18">
    <mergeCell ref="C18:D18"/>
    <mergeCell ref="L72:P72"/>
    <mergeCell ref="T3:AF4"/>
    <mergeCell ref="T10:AF11"/>
    <mergeCell ref="T5:AE9"/>
    <mergeCell ref="B36:R36"/>
    <mergeCell ref="B38:R38"/>
    <mergeCell ref="B45:R46"/>
    <mergeCell ref="B44:R44"/>
    <mergeCell ref="B40:R40"/>
    <mergeCell ref="B164:Q164"/>
    <mergeCell ref="C115:P115"/>
    <mergeCell ref="B112:Q112"/>
    <mergeCell ref="B107:Q107"/>
    <mergeCell ref="B117:Q117"/>
    <mergeCell ref="C113:P113"/>
    <mergeCell ref="C114:P114"/>
    <mergeCell ref="B163:Q163"/>
  </mergeCells>
  <phoneticPr fontId="0" type="noConversion"/>
  <conditionalFormatting sqref="N89:P89">
    <cfRule type="cellIs" dxfId="11" priority="1" stopIfTrue="1" operator="lessThan">
      <formula>0</formula>
    </cfRule>
  </conditionalFormatting>
  <conditionalFormatting sqref="F89">
    <cfRule type="cellIs" dxfId="10" priority="2" stopIfTrue="1" operator="greaterThan">
      <formula>1</formula>
    </cfRule>
  </conditionalFormatting>
  <hyperlinks>
    <hyperlink ref="B55" location="'Data Sheet'!B161" display="(N.B. PRT is not an employee benefit, see On-costs below)" xr:uid="{00000000-0004-0000-0000-000000000000}"/>
    <hyperlink ref="B43" location="'Data Sheet'!B128" display="(Further guidance can be found below.)" xr:uid="{00000000-0004-0000-0000-000001000000}"/>
  </hyperlinks>
  <pageMargins left="0.31496062992125984" right="0.15748031496062992" top="0.27559055118110237" bottom="0.39370078740157483" header="0.15748031496062992" footer="0.15748031496062992"/>
  <pageSetup paperSize="9" orientation="portrait" r:id="rId1"/>
  <headerFooter alignWithMargins="0">
    <oddFooter>&amp;L&amp;8Employee Entitlement Calculations&amp;R&amp;8&amp;P / 4</oddFooter>
  </headerFooter>
  <rowBreaks count="1" manualBreakCount="1">
    <brk id="107" max="16383" man="1"/>
  </rowBreaks>
  <drawing r:id="rId2"/>
  <legacyDrawing r:id="rId3"/>
  <oleObjects>
    <mc:AlternateContent xmlns:mc="http://schemas.openxmlformats.org/markup-compatibility/2006">
      <mc:Choice Requires="x14">
        <oleObject progId="Word.Picture.8" shapeId="6150" r:id="rId4">
          <objectPr defaultSize="0" autoPict="0" r:id="rId5">
            <anchor moveWithCells="1" sizeWithCells="1">
              <from>
                <xdr:col>20</xdr:col>
                <xdr:colOff>190500</xdr:colOff>
                <xdr:row>48</xdr:row>
                <xdr:rowOff>142875</xdr:rowOff>
              </from>
              <to>
                <xdr:col>25</xdr:col>
                <xdr:colOff>276225</xdr:colOff>
                <xdr:row>53</xdr:row>
                <xdr:rowOff>0</xdr:rowOff>
              </to>
            </anchor>
          </objectPr>
        </oleObject>
      </mc:Choice>
      <mc:Fallback>
        <oleObject progId="Word.Picture.8" shapeId="615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13"/>
  <sheetViews>
    <sheetView zoomScale="120" zoomScaleNormal="120" workbookViewId="0"/>
  </sheetViews>
  <sheetFormatPr defaultColWidth="1.1640625" defaultRowHeight="11.25" zeroHeight="1" x14ac:dyDescent="0.2"/>
  <cols>
    <col min="1" max="1" width="5.6640625" style="2" customWidth="1"/>
    <col min="2" max="2" width="8.5" style="2" customWidth="1"/>
    <col min="3" max="3" width="12.1640625" style="3" customWidth="1"/>
    <col min="4" max="4" width="8" style="3" bestFit="1" customWidth="1"/>
    <col min="5" max="5" width="11" style="3" customWidth="1"/>
    <col min="6" max="6" width="10.1640625" style="3" bestFit="1" customWidth="1"/>
    <col min="7" max="8" width="6.6640625" style="3" hidden="1" customWidth="1"/>
    <col min="9" max="9" width="10" style="3" customWidth="1"/>
    <col min="10" max="10" width="11.83203125" style="3" customWidth="1"/>
    <col min="11" max="11" width="8.33203125" style="3" customWidth="1"/>
    <col min="12" max="12" width="13.1640625" style="2" customWidth="1"/>
    <col min="13" max="13" width="12.83203125" style="2" customWidth="1"/>
    <col min="14" max="14" width="9.1640625" style="2" customWidth="1"/>
    <col min="15" max="15" width="12.1640625" style="2" customWidth="1"/>
    <col min="16" max="16" width="7.6640625" style="2" customWidth="1"/>
    <col min="17" max="17" width="4.33203125" style="2" customWidth="1"/>
    <col min="18" max="18" width="9.33203125" style="2" customWidth="1"/>
    <col min="19" max="19" width="14.83203125" style="2" customWidth="1"/>
    <col min="20" max="255" width="0" style="2" hidden="1" customWidth="1"/>
    <col min="256" max="16384" width="1.1640625" style="2"/>
  </cols>
  <sheetData>
    <row r="1" spans="1:24" x14ac:dyDescent="0.2">
      <c r="A1" s="1"/>
      <c r="J1" s="24" t="s">
        <v>27</v>
      </c>
      <c r="K1" s="2"/>
    </row>
    <row r="2" spans="1:24" ht="15.75" x14ac:dyDescent="0.25">
      <c r="A2" s="23" t="s">
        <v>26</v>
      </c>
      <c r="J2" s="2"/>
      <c r="K2" s="71" t="s">
        <v>74</v>
      </c>
      <c r="L2" s="69"/>
      <c r="M2" s="69"/>
      <c r="N2" s="70"/>
    </row>
    <row r="3" spans="1:24" x14ac:dyDescent="0.2">
      <c r="A3" s="1"/>
      <c r="K3" s="250" t="s">
        <v>194</v>
      </c>
      <c r="L3" s="250"/>
      <c r="M3" s="250"/>
      <c r="N3" s="250"/>
    </row>
    <row r="4" spans="1:24" x14ac:dyDescent="0.2">
      <c r="A4" s="1" t="s">
        <v>0</v>
      </c>
    </row>
    <row r="5" spans="1:24" s="5" customFormat="1" x14ac:dyDescent="0.2">
      <c r="A5" s="76" t="s">
        <v>1</v>
      </c>
      <c r="B5" s="77"/>
      <c r="C5" s="78">
        <v>0</v>
      </c>
      <c r="D5" s="95">
        <v>1</v>
      </c>
      <c r="E5" s="95">
        <v>2</v>
      </c>
      <c r="F5" s="95">
        <v>3</v>
      </c>
      <c r="G5" s="95"/>
      <c r="H5" s="95"/>
      <c r="I5" s="95">
        <v>4</v>
      </c>
      <c r="J5" s="95">
        <v>5</v>
      </c>
      <c r="K5" s="95">
        <v>6</v>
      </c>
      <c r="L5" s="95">
        <v>7</v>
      </c>
      <c r="M5" s="96">
        <v>8</v>
      </c>
      <c r="N5" s="96">
        <v>9</v>
      </c>
      <c r="O5" s="138">
        <v>10</v>
      </c>
      <c r="P5" s="96" t="s">
        <v>2</v>
      </c>
      <c r="Q5" s="79"/>
      <c r="R5" s="135" t="s">
        <v>3</v>
      </c>
      <c r="S5" s="8"/>
      <c r="T5" s="8"/>
      <c r="U5" s="8"/>
      <c r="V5" s="8"/>
      <c r="W5" s="8"/>
      <c r="X5" s="8"/>
    </row>
    <row r="6" spans="1:24" x14ac:dyDescent="0.2">
      <c r="A6" s="80" t="s">
        <v>4</v>
      </c>
      <c r="B6" s="81"/>
      <c r="C6" s="81"/>
      <c r="D6" s="97"/>
      <c r="E6" s="97"/>
      <c r="F6" s="97"/>
      <c r="G6" s="97"/>
      <c r="H6" s="97"/>
      <c r="I6" s="97"/>
      <c r="J6" s="97"/>
      <c r="K6" s="97"/>
      <c r="L6" s="97"/>
      <c r="M6" s="98"/>
      <c r="N6" s="98"/>
      <c r="O6" s="139"/>
      <c r="P6" s="98"/>
      <c r="Q6" s="82"/>
      <c r="R6" s="136"/>
    </row>
    <row r="7" spans="1:24" s="10" customFormat="1" x14ac:dyDescent="0.2">
      <c r="A7" s="83" t="str">
        <f>"Year End - "&amp;'Data Sheet'!B10</f>
        <v>Year End - 2024</v>
      </c>
      <c r="B7" s="84"/>
      <c r="C7" s="84">
        <f>'Data Sheet'!C31</f>
        <v>26</v>
      </c>
      <c r="D7" s="99">
        <f>'Data Sheet'!C30</f>
        <v>25</v>
      </c>
      <c r="E7" s="100">
        <f>'Data Sheet'!C29</f>
        <v>15</v>
      </c>
      <c r="F7" s="100">
        <f>'Data Sheet'!C28</f>
        <v>22</v>
      </c>
      <c r="G7" s="100"/>
      <c r="H7" s="100"/>
      <c r="I7" s="100">
        <f>'Data Sheet'!C27</f>
        <v>20</v>
      </c>
      <c r="J7" s="100">
        <f>'Data Sheet'!C26</f>
        <v>11</v>
      </c>
      <c r="K7" s="100">
        <f>'Data Sheet'!C25</f>
        <v>10</v>
      </c>
      <c r="L7" s="100">
        <f>'Data Sheet'!C24</f>
        <v>5</v>
      </c>
      <c r="M7" s="100">
        <f>'Data Sheet'!C23</f>
        <v>7</v>
      </c>
      <c r="N7" s="100">
        <f>'Data Sheet'!C22</f>
        <v>6</v>
      </c>
      <c r="O7" s="140">
        <f>'Data Sheet'!C21</f>
        <v>4</v>
      </c>
      <c r="P7" s="141">
        <f>'Data Sheet'!C20</f>
        <v>63</v>
      </c>
      <c r="Q7" s="81"/>
      <c r="R7" s="137">
        <f>SUM(C7:Q7)</f>
        <v>214</v>
      </c>
    </row>
    <row r="8" spans="1:24" s="10" customFormat="1" x14ac:dyDescent="0.2">
      <c r="A8" s="83" t="str">
        <f>"Year End - "&amp;'Data Sheet'!B11</f>
        <v>Year End - 2023</v>
      </c>
      <c r="B8" s="84"/>
      <c r="C8" s="84">
        <f>'Data Sheet'!J31</f>
        <v>33</v>
      </c>
      <c r="D8" s="100">
        <f>'Data Sheet'!J30</f>
        <v>17</v>
      </c>
      <c r="E8" s="100">
        <f>'Data Sheet'!J29</f>
        <v>29</v>
      </c>
      <c r="F8" s="100">
        <f>'Data Sheet'!J28</f>
        <v>21</v>
      </c>
      <c r="G8" s="100"/>
      <c r="H8" s="100"/>
      <c r="I8" s="100">
        <f>'Data Sheet'!J27</f>
        <v>12</v>
      </c>
      <c r="J8" s="100">
        <f>'Data Sheet'!J26</f>
        <v>12</v>
      </c>
      <c r="K8" s="100">
        <f>'Data Sheet'!J25</f>
        <v>5</v>
      </c>
      <c r="L8" s="100">
        <f>'Data Sheet'!J24</f>
        <v>8</v>
      </c>
      <c r="M8" s="100">
        <f>'Data Sheet'!J23</f>
        <v>6</v>
      </c>
      <c r="N8" s="100">
        <f>'Data Sheet'!J22</f>
        <v>5</v>
      </c>
      <c r="O8" s="140">
        <f>'Data Sheet'!J21</f>
        <v>4</v>
      </c>
      <c r="P8" s="99">
        <f>'Data Sheet'!J20</f>
        <v>56</v>
      </c>
      <c r="Q8" s="81"/>
      <c r="R8" s="137">
        <f>SUM(C8:Q8)</f>
        <v>208</v>
      </c>
    </row>
    <row r="9" spans="1:24" s="10" customFormat="1" x14ac:dyDescent="0.2">
      <c r="A9" s="83" t="str">
        <f>"Year End - "&amp;'Data Sheet'!B12</f>
        <v>Year End - 2022</v>
      </c>
      <c r="B9" s="84"/>
      <c r="C9" s="84">
        <f>'Data Sheet'!L31</f>
        <v>25</v>
      </c>
      <c r="D9" s="100">
        <f>'Data Sheet'!L30</f>
        <v>39</v>
      </c>
      <c r="E9" s="100">
        <f>'Data Sheet'!L29</f>
        <v>27</v>
      </c>
      <c r="F9" s="100">
        <f>'Data Sheet'!L28</f>
        <v>17</v>
      </c>
      <c r="G9" s="100"/>
      <c r="H9" s="100"/>
      <c r="I9" s="100">
        <f>'Data Sheet'!L27</f>
        <v>14</v>
      </c>
      <c r="J9" s="100">
        <f>'Data Sheet'!L26</f>
        <v>5</v>
      </c>
      <c r="K9" s="100">
        <f>'Data Sheet'!L25</f>
        <v>8</v>
      </c>
      <c r="L9" s="100">
        <f>'Data Sheet'!L24</f>
        <v>6</v>
      </c>
      <c r="M9" s="100">
        <f>'Data Sheet'!L23</f>
        <v>6</v>
      </c>
      <c r="N9" s="100">
        <f>'Data Sheet'!L22</f>
        <v>4</v>
      </c>
      <c r="O9" s="140">
        <f>'Data Sheet'!L21</f>
        <v>4</v>
      </c>
      <c r="P9" s="99">
        <f>'Data Sheet'!L20</f>
        <v>52</v>
      </c>
      <c r="Q9" s="81"/>
      <c r="R9" s="137">
        <f>SUM(C9:Q9)</f>
        <v>207</v>
      </c>
    </row>
    <row r="10" spans="1:24" s="10" customFormat="1" x14ac:dyDescent="0.2">
      <c r="A10" s="9"/>
      <c r="D10" s="101"/>
      <c r="E10" s="101"/>
      <c r="F10" s="101"/>
      <c r="G10" s="101"/>
      <c r="H10" s="101"/>
      <c r="I10" s="101"/>
      <c r="J10" s="101"/>
      <c r="K10" s="101"/>
      <c r="L10" s="101"/>
      <c r="M10" s="102"/>
      <c r="N10" s="102"/>
      <c r="O10" s="102"/>
    </row>
    <row r="11" spans="1:24" s="10" customFormat="1" x14ac:dyDescent="0.2">
      <c r="A11" s="9" t="s">
        <v>5</v>
      </c>
      <c r="D11" s="101"/>
      <c r="E11" s="101"/>
      <c r="F11" s="101"/>
      <c r="G11" s="101"/>
      <c r="H11" s="101"/>
      <c r="I11" s="101"/>
      <c r="J11" s="101"/>
      <c r="K11" s="101"/>
      <c r="L11" s="101"/>
      <c r="M11" s="102"/>
      <c r="N11" s="102"/>
      <c r="O11" s="102"/>
    </row>
    <row r="12" spans="1:24" s="8" customFormat="1" x14ac:dyDescent="0.2">
      <c r="A12" s="12" t="s">
        <v>1</v>
      </c>
      <c r="C12" s="6">
        <v>0</v>
      </c>
      <c r="D12" s="103">
        <v>1</v>
      </c>
      <c r="E12" s="103">
        <v>2</v>
      </c>
      <c r="F12" s="103">
        <v>3</v>
      </c>
      <c r="G12" s="103"/>
      <c r="H12" s="103"/>
      <c r="I12" s="103">
        <v>4</v>
      </c>
      <c r="J12" s="103">
        <v>5</v>
      </c>
      <c r="K12" s="103">
        <v>6</v>
      </c>
      <c r="L12" s="103">
        <v>7</v>
      </c>
      <c r="M12" s="104">
        <v>8</v>
      </c>
      <c r="N12" s="104">
        <v>9</v>
      </c>
      <c r="O12" s="104">
        <v>10</v>
      </c>
    </row>
    <row r="13" spans="1:24" s="8" customFormat="1" x14ac:dyDescent="0.2">
      <c r="A13" s="86" t="s">
        <v>4</v>
      </c>
      <c r="B13" s="87"/>
      <c r="C13" s="88"/>
      <c r="D13" s="105"/>
      <c r="E13" s="105"/>
      <c r="F13" s="105"/>
      <c r="G13" s="105"/>
      <c r="H13" s="105"/>
      <c r="I13" s="105"/>
      <c r="J13" s="105"/>
      <c r="K13" s="105"/>
      <c r="L13" s="105"/>
      <c r="M13" s="106"/>
      <c r="N13" s="106"/>
      <c r="O13" s="106"/>
    </row>
    <row r="14" spans="1:24" s="10" customFormat="1" ht="11.25" customHeight="1" x14ac:dyDescent="0.2">
      <c r="A14" s="89" t="str">
        <f>"Wastage - "&amp;(RIGHT(A8,4))&amp;"-"&amp;(RIGHT(A7,2))</f>
        <v>Wastage - 2023-24</v>
      </c>
      <c r="B14" s="85"/>
      <c r="C14" s="85"/>
      <c r="D14" s="107">
        <f t="shared" ref="D14:O15" si="0">+C8-D7</f>
        <v>8</v>
      </c>
      <c r="E14" s="107">
        <f t="shared" si="0"/>
        <v>2</v>
      </c>
      <c r="F14" s="107">
        <f>+E8-F7</f>
        <v>7</v>
      </c>
      <c r="G14" s="107"/>
      <c r="H14" s="107"/>
      <c r="I14" s="107">
        <f>+F8-I7</f>
        <v>1</v>
      </c>
      <c r="J14" s="107">
        <f t="shared" si="0"/>
        <v>1</v>
      </c>
      <c r="K14" s="107">
        <f t="shared" si="0"/>
        <v>2</v>
      </c>
      <c r="L14" s="107">
        <f t="shared" si="0"/>
        <v>0</v>
      </c>
      <c r="M14" s="107">
        <f t="shared" si="0"/>
        <v>1</v>
      </c>
      <c r="N14" s="107">
        <f t="shared" si="0"/>
        <v>0</v>
      </c>
      <c r="O14" s="107">
        <f t="shared" si="0"/>
        <v>1</v>
      </c>
      <c r="Q14" s="313" t="s">
        <v>234</v>
      </c>
      <c r="R14" s="313"/>
      <c r="S14" s="313"/>
    </row>
    <row r="15" spans="1:24" s="10" customFormat="1" x14ac:dyDescent="0.2">
      <c r="A15" s="9" t="str">
        <f>"Wastage - "&amp;(RIGHT(A9,4))&amp;"-"&amp;(RIGHT(A8,2))</f>
        <v>Wastage - 2022-23</v>
      </c>
      <c r="D15" s="107">
        <f t="shared" si="0"/>
        <v>8</v>
      </c>
      <c r="E15" s="107">
        <f>+D9-E8</f>
        <v>10</v>
      </c>
      <c r="F15" s="107">
        <f t="shared" si="0"/>
        <v>6</v>
      </c>
      <c r="G15" s="107"/>
      <c r="H15" s="107"/>
      <c r="I15" s="107">
        <f>+F9-I8</f>
        <v>5</v>
      </c>
      <c r="J15" s="107">
        <f t="shared" si="0"/>
        <v>2</v>
      </c>
      <c r="K15" s="107">
        <f t="shared" si="0"/>
        <v>0</v>
      </c>
      <c r="L15" s="107">
        <f t="shared" si="0"/>
        <v>0</v>
      </c>
      <c r="M15" s="107">
        <f t="shared" si="0"/>
        <v>0</v>
      </c>
      <c r="N15" s="107">
        <f t="shared" si="0"/>
        <v>1</v>
      </c>
      <c r="O15" s="107">
        <f t="shared" si="0"/>
        <v>0</v>
      </c>
      <c r="Q15" s="313"/>
      <c r="R15" s="313"/>
      <c r="S15" s="313"/>
    </row>
    <row r="16" spans="1:24" s="10" customFormat="1" x14ac:dyDescent="0.2">
      <c r="A16" s="9" t="s">
        <v>6</v>
      </c>
      <c r="D16" s="108">
        <f>SUM(D14:D15)</f>
        <v>16</v>
      </c>
      <c r="E16" s="108">
        <f>SUM(E14:E15)</f>
        <v>12</v>
      </c>
      <c r="F16" s="108">
        <f>SUM(F14:F15)</f>
        <v>13</v>
      </c>
      <c r="G16" s="108"/>
      <c r="H16" s="108"/>
      <c r="I16" s="108">
        <f t="shared" ref="I16:O16" si="1">SUM(I14:I15)</f>
        <v>6</v>
      </c>
      <c r="J16" s="108">
        <f t="shared" si="1"/>
        <v>3</v>
      </c>
      <c r="K16" s="108">
        <f t="shared" si="1"/>
        <v>2</v>
      </c>
      <c r="L16" s="108">
        <f t="shared" si="1"/>
        <v>0</v>
      </c>
      <c r="M16" s="108">
        <f t="shared" si="1"/>
        <v>1</v>
      </c>
      <c r="N16" s="108">
        <f t="shared" si="1"/>
        <v>1</v>
      </c>
      <c r="O16" s="108">
        <f t="shared" si="1"/>
        <v>1</v>
      </c>
      <c r="Q16" s="313"/>
      <c r="R16" s="313"/>
      <c r="S16" s="313"/>
    </row>
    <row r="17" spans="1:19" s="10" customFormat="1" x14ac:dyDescent="0.2">
      <c r="C17" s="25" t="str">
        <f>IF(C16&lt;0,"Error - Neg!","")</f>
        <v/>
      </c>
      <c r="D17" s="246" t="str">
        <f>IF(D14&lt;0,"Error - Neg! in "&amp;$A$14,"")</f>
        <v/>
      </c>
      <c r="E17" s="246" t="str">
        <f>IF(E14&lt;0,"Error - Neg! in "&amp;$A$14,"")</f>
        <v/>
      </c>
      <c r="F17" s="246" t="str">
        <f>IF(F14&lt;0,"Error - Neg! in "&amp;$A$14,"")</f>
        <v/>
      </c>
      <c r="G17" s="246"/>
      <c r="H17" s="246"/>
      <c r="I17" s="246" t="str">
        <f>IF(I14&lt;0,"Error - Neg! in "&amp;$A$14,"")</f>
        <v/>
      </c>
      <c r="J17" s="246" t="str">
        <f t="shared" ref="J17:O17" si="2">IF(J14&lt;0,"Error - Neg! in "&amp;$A$14,"")</f>
        <v/>
      </c>
      <c r="K17" s="246" t="str">
        <f t="shared" si="2"/>
        <v/>
      </c>
      <c r="L17" s="246" t="str">
        <f t="shared" si="2"/>
        <v/>
      </c>
      <c r="M17" s="246" t="str">
        <f t="shared" si="2"/>
        <v/>
      </c>
      <c r="N17" s="246" t="str">
        <f t="shared" si="2"/>
        <v/>
      </c>
      <c r="O17" s="246" t="str">
        <f t="shared" si="2"/>
        <v/>
      </c>
      <c r="P17" s="29" t="s">
        <v>196</v>
      </c>
      <c r="S17" s="253" t="s">
        <v>199</v>
      </c>
    </row>
    <row r="18" spans="1:19" s="10" customFormat="1" x14ac:dyDescent="0.2">
      <c r="C18" s="25"/>
      <c r="D18" s="246" t="str">
        <f>IF(D15&lt;0,"Error - Neg! in "&amp;$A$15,"")</f>
        <v/>
      </c>
      <c r="E18" s="246" t="str">
        <f>IF(E15&lt;0,"Error - Neg! in "&amp;$A$15,"")</f>
        <v/>
      </c>
      <c r="F18" s="246" t="str">
        <f>IF(F15&lt;0,"Error - Neg! in "&amp;$A$15,"")</f>
        <v/>
      </c>
      <c r="G18" s="246"/>
      <c r="H18" s="246"/>
      <c r="I18" s="246" t="str">
        <f>IF(I15&lt;0,"Error - Neg! in "&amp;$A$15,"")</f>
        <v/>
      </c>
      <c r="J18" s="246" t="str">
        <f t="shared" ref="J18:O18" si="3">IF(J15&lt;0,"Error - Neg! in "&amp;$A$15,"")</f>
        <v/>
      </c>
      <c r="K18" s="246" t="str">
        <f t="shared" si="3"/>
        <v/>
      </c>
      <c r="L18" s="246" t="str">
        <f t="shared" si="3"/>
        <v/>
      </c>
      <c r="M18" s="246" t="str">
        <f t="shared" si="3"/>
        <v/>
      </c>
      <c r="N18" s="246" t="str">
        <f t="shared" si="3"/>
        <v/>
      </c>
      <c r="O18" s="246" t="str">
        <f t="shared" si="3"/>
        <v/>
      </c>
      <c r="P18" s="29" t="s">
        <v>196</v>
      </c>
      <c r="S18" s="253" t="s">
        <v>199</v>
      </c>
    </row>
    <row r="19" spans="1:19" s="10" customFormat="1" x14ac:dyDescent="0.2">
      <c r="A19" s="86" t="s">
        <v>7</v>
      </c>
      <c r="B19" s="88"/>
      <c r="C19" s="90">
        <f>+D16/(C9+C8)</f>
        <v>0.27586206896551724</v>
      </c>
      <c r="D19" s="109">
        <f>+E16/(D9+D8)</f>
        <v>0.21428571428571427</v>
      </c>
      <c r="E19" s="109">
        <f t="shared" ref="E19:O19" si="4">+F16/(E9+E8)</f>
        <v>0.23214285714285715</v>
      </c>
      <c r="F19" s="109">
        <f>+I16/(F9+F8)</f>
        <v>0.15789473684210525</v>
      </c>
      <c r="G19" s="109"/>
      <c r="H19" s="109"/>
      <c r="I19" s="109">
        <f t="shared" si="4"/>
        <v>0.11538461538461539</v>
      </c>
      <c r="J19" s="109">
        <f t="shared" si="4"/>
        <v>0.11764705882352941</v>
      </c>
      <c r="K19" s="109">
        <f t="shared" si="4"/>
        <v>0</v>
      </c>
      <c r="L19" s="109">
        <f t="shared" si="4"/>
        <v>7.1428571428571425E-2</v>
      </c>
      <c r="M19" s="109">
        <f t="shared" si="4"/>
        <v>8.3333333333333329E-2</v>
      </c>
      <c r="N19" s="109">
        <f t="shared" si="4"/>
        <v>0.1111111111111111</v>
      </c>
      <c r="O19" s="109">
        <f t="shared" si="4"/>
        <v>0</v>
      </c>
    </row>
    <row r="20" spans="1:19" x14ac:dyDescent="0.2">
      <c r="A20" s="80" t="s">
        <v>8</v>
      </c>
      <c r="B20" s="81"/>
      <c r="C20" s="91">
        <f>1-C19</f>
        <v>0.72413793103448276</v>
      </c>
      <c r="D20" s="110">
        <f t="shared" ref="D20:O20" si="5">1-D19</f>
        <v>0.7857142857142857</v>
      </c>
      <c r="E20" s="110">
        <f t="shared" si="5"/>
        <v>0.76785714285714279</v>
      </c>
      <c r="F20" s="110">
        <f t="shared" si="5"/>
        <v>0.84210526315789469</v>
      </c>
      <c r="G20" s="110"/>
      <c r="H20" s="110"/>
      <c r="I20" s="110">
        <f t="shared" si="5"/>
        <v>0.88461538461538458</v>
      </c>
      <c r="J20" s="110">
        <f t="shared" si="5"/>
        <v>0.88235294117647056</v>
      </c>
      <c r="K20" s="110">
        <f t="shared" si="5"/>
        <v>1</v>
      </c>
      <c r="L20" s="110">
        <f t="shared" si="5"/>
        <v>0.9285714285714286</v>
      </c>
      <c r="M20" s="110">
        <f t="shared" si="5"/>
        <v>0.91666666666666663</v>
      </c>
      <c r="N20" s="110">
        <f t="shared" si="5"/>
        <v>0.88888888888888884</v>
      </c>
      <c r="O20" s="110">
        <f t="shared" si="5"/>
        <v>1</v>
      </c>
    </row>
    <row r="21" spans="1:19" x14ac:dyDescent="0.2">
      <c r="D21" s="111"/>
      <c r="E21" s="111"/>
      <c r="F21" s="111"/>
      <c r="G21" s="111"/>
      <c r="H21" s="111"/>
      <c r="I21" s="111"/>
      <c r="J21" s="111"/>
      <c r="K21" s="111"/>
      <c r="L21" s="112"/>
      <c r="M21" s="112"/>
      <c r="N21" s="112"/>
      <c r="O21" s="112"/>
    </row>
    <row r="22" spans="1:19" x14ac:dyDescent="0.2">
      <c r="A22" s="92" t="s">
        <v>9</v>
      </c>
      <c r="B22" s="93"/>
      <c r="C22" s="90">
        <v>1</v>
      </c>
      <c r="D22" s="109">
        <f>+C20</f>
        <v>0.72413793103448276</v>
      </c>
      <c r="E22" s="109">
        <f>+D22*D20</f>
        <v>0.56896551724137934</v>
      </c>
      <c r="F22" s="109">
        <f t="shared" ref="F22:O22" si="6">+E22*E20</f>
        <v>0.43688423645320196</v>
      </c>
      <c r="G22" s="109"/>
      <c r="H22" s="109"/>
      <c r="I22" s="109">
        <f>+F22*F20</f>
        <v>0.3679025149079595</v>
      </c>
      <c r="J22" s="109">
        <f t="shared" si="6"/>
        <v>0.32545222472627183</v>
      </c>
      <c r="K22" s="109">
        <f t="shared" si="6"/>
        <v>0.28716372769965159</v>
      </c>
      <c r="L22" s="109">
        <f t="shared" si="6"/>
        <v>0.28716372769965159</v>
      </c>
      <c r="M22" s="109">
        <f t="shared" si="6"/>
        <v>0.26665203286396222</v>
      </c>
      <c r="N22" s="109">
        <f t="shared" si="6"/>
        <v>0.24443103012529868</v>
      </c>
      <c r="O22" s="109">
        <f t="shared" si="6"/>
        <v>0.21727202677804325</v>
      </c>
    </row>
    <row r="23" spans="1:19" s="15" customFormat="1" x14ac:dyDescent="0.2">
      <c r="A23" s="94" t="s">
        <v>10</v>
      </c>
      <c r="B23" s="91"/>
      <c r="C23" s="91">
        <f>+$O$22/C22</f>
        <v>0.21727202677804325</v>
      </c>
      <c r="D23" s="110">
        <f>+$O$22/D22</f>
        <v>0.30004232269348829</v>
      </c>
      <c r="E23" s="110">
        <f>+$O$22/E22</f>
        <v>0.38187204706443961</v>
      </c>
      <c r="F23" s="110">
        <f>+$O$22/F22</f>
        <v>0.49732173571182842</v>
      </c>
      <c r="G23" s="110"/>
      <c r="H23" s="110"/>
      <c r="I23" s="110">
        <f t="shared" ref="I23:O23" si="7">+$O$22/I22</f>
        <v>0.59056956115779624</v>
      </c>
      <c r="J23" s="110">
        <f t="shared" si="7"/>
        <v>0.66760037348272627</v>
      </c>
      <c r="K23" s="110">
        <f t="shared" si="7"/>
        <v>0.75661375661375652</v>
      </c>
      <c r="L23" s="110">
        <f t="shared" si="7"/>
        <v>0.75661375661375652</v>
      </c>
      <c r="M23" s="110">
        <f t="shared" si="7"/>
        <v>0.81481481481481466</v>
      </c>
      <c r="N23" s="110">
        <f t="shared" si="7"/>
        <v>0.88888888888888884</v>
      </c>
      <c r="O23" s="110">
        <f t="shared" si="7"/>
        <v>1</v>
      </c>
      <c r="R23" s="2"/>
    </row>
    <row r="24" spans="1:19" x14ac:dyDescent="0.2">
      <c r="A24" s="1"/>
      <c r="L24" s="3"/>
      <c r="M24" s="3"/>
      <c r="N24" s="3"/>
      <c r="O24" s="281" t="s">
        <v>129</v>
      </c>
    </row>
    <row r="25" spans="1:19" x14ac:dyDescent="0.2">
      <c r="A25" s="1" t="s">
        <v>79</v>
      </c>
      <c r="L25" s="3"/>
      <c r="M25" s="3"/>
      <c r="N25" s="3"/>
      <c r="O25" s="3"/>
    </row>
    <row r="26" spans="1:19" x14ac:dyDescent="0.2">
      <c r="A26" s="1" t="s">
        <v>11</v>
      </c>
      <c r="Q26" s="6"/>
      <c r="R26" s="6"/>
      <c r="S26" s="6"/>
    </row>
    <row r="27" spans="1:19" x14ac:dyDescent="0.2">
      <c r="A27" s="1"/>
      <c r="Q27" s="6"/>
      <c r="R27" s="6"/>
      <c r="S27" s="6"/>
    </row>
    <row r="28" spans="1:19" s="6" customFormat="1" x14ac:dyDescent="0.2">
      <c r="A28" s="113" t="s">
        <v>20</v>
      </c>
      <c r="B28" s="113" t="s">
        <v>13</v>
      </c>
      <c r="C28" s="114" t="s">
        <v>12</v>
      </c>
      <c r="D28" s="115" t="s">
        <v>15</v>
      </c>
      <c r="E28" s="114" t="s">
        <v>16</v>
      </c>
      <c r="F28" s="114" t="s">
        <v>17</v>
      </c>
      <c r="G28" s="114"/>
      <c r="H28" s="114"/>
      <c r="I28" s="114" t="s">
        <v>17</v>
      </c>
      <c r="J28" s="113" t="s">
        <v>18</v>
      </c>
      <c r="K28" s="113" t="s">
        <v>10</v>
      </c>
      <c r="L28" s="113" t="s">
        <v>19</v>
      </c>
      <c r="M28" s="152" t="s">
        <v>93</v>
      </c>
      <c r="N28" s="2"/>
      <c r="O28" s="2"/>
    </row>
    <row r="29" spans="1:19" s="6" customFormat="1" ht="13.5" customHeight="1" x14ac:dyDescent="0.2">
      <c r="A29" s="113" t="s">
        <v>12</v>
      </c>
      <c r="B29" s="113" t="s">
        <v>21</v>
      </c>
      <c r="C29" s="113" t="s">
        <v>22</v>
      </c>
      <c r="D29" s="114" t="s">
        <v>23</v>
      </c>
      <c r="E29" s="114" t="s">
        <v>24</v>
      </c>
      <c r="F29" s="114" t="s">
        <v>25</v>
      </c>
      <c r="G29" s="114"/>
      <c r="H29" s="114"/>
      <c r="I29" s="114" t="s">
        <v>23</v>
      </c>
      <c r="J29" s="113" t="s">
        <v>24</v>
      </c>
      <c r="K29" s="113" t="s">
        <v>23</v>
      </c>
      <c r="L29" s="113" t="s">
        <v>24</v>
      </c>
      <c r="M29" s="152" t="s">
        <v>94</v>
      </c>
      <c r="N29" s="2"/>
      <c r="O29" s="2"/>
      <c r="Q29" s="72"/>
      <c r="S29" s="73"/>
    </row>
    <row r="30" spans="1:19" s="6" customFormat="1" ht="13.5" customHeight="1" x14ac:dyDescent="0.2">
      <c r="A30" s="113"/>
      <c r="B30" s="312" t="str">
        <f>'Data Sheet'!B9&amp;'Data Sheet'!B10</f>
        <v>30 April 2024</v>
      </c>
      <c r="C30" s="312"/>
      <c r="D30" s="116">
        <f>'Data Sheet'!$F$10</f>
        <v>0</v>
      </c>
      <c r="E30" s="114"/>
      <c r="F30" s="114"/>
      <c r="G30" s="114"/>
      <c r="H30" s="114"/>
      <c r="I30" s="114"/>
      <c r="J30" s="114"/>
      <c r="K30" s="114"/>
      <c r="L30" s="113"/>
      <c r="M30" s="113"/>
      <c r="N30" s="2"/>
      <c r="O30" s="2"/>
      <c r="Q30" s="72"/>
      <c r="S30" s="73"/>
    </row>
    <row r="31" spans="1:19" s="5" customFormat="1" ht="13.5" customHeight="1" x14ac:dyDescent="0.2">
      <c r="A31" s="117" t="s">
        <v>2</v>
      </c>
      <c r="B31" s="118">
        <f>'Data Sheet'!C20</f>
        <v>63</v>
      </c>
      <c r="C31" s="119">
        <f>'Data Sheet'!D20</f>
        <v>185000</v>
      </c>
      <c r="D31" s="120">
        <v>1</v>
      </c>
      <c r="E31" s="121">
        <f>C31*D31</f>
        <v>185000</v>
      </c>
      <c r="F31" s="122">
        <v>0</v>
      </c>
      <c r="G31" s="122"/>
      <c r="H31" s="122"/>
      <c r="I31" s="123">
        <v>1</v>
      </c>
      <c r="J31" s="121">
        <f t="shared" ref="J31:J44" si="8">+E31/I31</f>
        <v>185000</v>
      </c>
      <c r="K31" s="154">
        <v>1</v>
      </c>
      <c r="L31" s="121">
        <f t="shared" ref="L31:L44" si="9">+J31*K31</f>
        <v>185000</v>
      </c>
      <c r="M31" s="124"/>
      <c r="N31" s="2"/>
      <c r="O31" s="2"/>
      <c r="Q31" s="72"/>
      <c r="R31" s="6"/>
      <c r="S31" s="73"/>
    </row>
    <row r="32" spans="1:19" s="5" customFormat="1" ht="13.5" customHeight="1" x14ac:dyDescent="0.2">
      <c r="A32" s="125">
        <v>10</v>
      </c>
      <c r="B32" s="118">
        <f>'Data Sheet'!C21</f>
        <v>4</v>
      </c>
      <c r="C32" s="126">
        <f>'Data Sheet'!D21</f>
        <v>15000</v>
      </c>
      <c r="D32" s="127">
        <f t="shared" ref="D32:D44" si="10">(1+$D$30)^(10-A32)</f>
        <v>1</v>
      </c>
      <c r="E32" s="128">
        <f t="shared" ref="E32:E44" si="11">C32*D32</f>
        <v>15000</v>
      </c>
      <c r="F32" s="129">
        <v>0</v>
      </c>
      <c r="G32" s="129"/>
      <c r="H32" s="129"/>
      <c r="I32" s="130">
        <v>1</v>
      </c>
      <c r="J32" s="128">
        <f t="shared" si="8"/>
        <v>15000</v>
      </c>
      <c r="K32" s="153">
        <f>+O23</f>
        <v>1</v>
      </c>
      <c r="L32" s="128">
        <f t="shared" si="9"/>
        <v>15000</v>
      </c>
      <c r="M32" s="131">
        <f>SUM(L31:L32)</f>
        <v>200000</v>
      </c>
      <c r="N32" s="2" t="s">
        <v>231</v>
      </c>
      <c r="O32" s="2"/>
      <c r="Q32" s="6"/>
      <c r="R32" s="6"/>
      <c r="S32" s="74"/>
    </row>
    <row r="33" spans="1:19" s="5" customFormat="1" ht="13.5" customHeight="1" x14ac:dyDescent="0.2">
      <c r="A33" s="125"/>
      <c r="B33" s="155"/>
      <c r="C33" s="156"/>
      <c r="D33" s="127"/>
      <c r="E33" s="128"/>
      <c r="F33" s="129"/>
      <c r="G33" s="129"/>
      <c r="H33" s="129"/>
      <c r="I33" s="130"/>
      <c r="J33" s="128"/>
      <c r="K33" s="128"/>
      <c r="L33" s="128"/>
      <c r="M33" s="124"/>
      <c r="N33" s="2" t="s">
        <v>96</v>
      </c>
      <c r="O33" s="2"/>
      <c r="R33" s="6"/>
    </row>
    <row r="34" spans="1:19" s="5" customFormat="1" ht="13.5" customHeight="1" x14ac:dyDescent="0.2">
      <c r="A34" s="76" t="s">
        <v>115</v>
      </c>
      <c r="B34" s="155"/>
      <c r="C34" s="156"/>
      <c r="D34" s="127"/>
      <c r="E34" s="128"/>
      <c r="F34" s="129"/>
      <c r="G34" s="129"/>
      <c r="H34" s="129"/>
      <c r="I34" s="130"/>
      <c r="J34" s="128"/>
      <c r="K34" s="128"/>
      <c r="L34" s="128"/>
      <c r="M34" s="124"/>
      <c r="N34" s="2"/>
      <c r="O34" s="2"/>
      <c r="R34" s="6"/>
    </row>
    <row r="35" spans="1:19" s="5" customFormat="1" ht="13.5" customHeight="1" x14ac:dyDescent="0.2">
      <c r="A35" s="125">
        <v>9</v>
      </c>
      <c r="B35" s="118">
        <f>'Data Sheet'!C22</f>
        <v>6</v>
      </c>
      <c r="C35" s="126">
        <f>'Data Sheet'!D22</f>
        <v>5000</v>
      </c>
      <c r="D35" s="127">
        <f t="shared" si="10"/>
        <v>1</v>
      </c>
      <c r="E35" s="128">
        <f t="shared" si="11"/>
        <v>5000</v>
      </c>
      <c r="F35" s="132">
        <f>1+('Data Sheet'!F22)/100</f>
        <v>1.0441309999999999</v>
      </c>
      <c r="G35" s="132">
        <f>C35/SUM($C$35:$C$44)</f>
        <v>0.1</v>
      </c>
      <c r="H35" s="132">
        <f>G35*-(1-F35)</f>
        <v>4.4130999999999919E-3</v>
      </c>
      <c r="I35" s="130">
        <f>+F35^(10-A35)</f>
        <v>1.0441309999999999</v>
      </c>
      <c r="J35" s="128">
        <f t="shared" si="8"/>
        <v>4788.6711533322932</v>
      </c>
      <c r="K35" s="153">
        <f>+N23</f>
        <v>0.88888888888888884</v>
      </c>
      <c r="L35" s="128">
        <f t="shared" si="9"/>
        <v>4256.5965807398161</v>
      </c>
      <c r="M35" s="124"/>
      <c r="N35" s="2"/>
      <c r="R35" s="6"/>
    </row>
    <row r="36" spans="1:19" s="5" customFormat="1" x14ac:dyDescent="0.2">
      <c r="A36" s="125">
        <v>8</v>
      </c>
      <c r="B36" s="118">
        <f>'Data Sheet'!C23</f>
        <v>7</v>
      </c>
      <c r="C36" s="126">
        <f>'Data Sheet'!D23</f>
        <v>3000</v>
      </c>
      <c r="D36" s="127">
        <f t="shared" si="10"/>
        <v>1</v>
      </c>
      <c r="E36" s="128">
        <f t="shared" si="11"/>
        <v>3000</v>
      </c>
      <c r="F36" s="132">
        <f>1+('Data Sheet'!F23)/100</f>
        <v>1.0415749999999999</v>
      </c>
      <c r="G36" s="132">
        <f>C36/SUM($C$35:$C$44)</f>
        <v>0.06</v>
      </c>
      <c r="H36" s="132">
        <f t="shared" ref="H36:H44" si="12">G36*-(1-F36)</f>
        <v>2.494499999999995E-3</v>
      </c>
      <c r="I36" s="130">
        <f t="shared" ref="I36:I44" si="13">+F36^(10-A36)</f>
        <v>1.0848784806249998</v>
      </c>
      <c r="J36" s="128">
        <f t="shared" si="8"/>
        <v>2765.2866690393716</v>
      </c>
      <c r="K36" s="153">
        <f>+M23</f>
        <v>0.81481481481481466</v>
      </c>
      <c r="L36" s="128">
        <f t="shared" si="9"/>
        <v>2253.1965451431911</v>
      </c>
      <c r="M36" s="133"/>
      <c r="R36" s="6"/>
    </row>
    <row r="37" spans="1:19" s="5" customFormat="1" x14ac:dyDescent="0.2">
      <c r="A37" s="125">
        <v>7</v>
      </c>
      <c r="B37" s="118">
        <f>'Data Sheet'!C24</f>
        <v>5</v>
      </c>
      <c r="C37" s="126">
        <f>'Data Sheet'!D24</f>
        <v>6000</v>
      </c>
      <c r="D37" s="127">
        <f t="shared" si="10"/>
        <v>1</v>
      </c>
      <c r="E37" s="128">
        <f t="shared" si="11"/>
        <v>6000</v>
      </c>
      <c r="F37" s="132">
        <f>1+('Data Sheet'!F24)/100</f>
        <v>1.040791</v>
      </c>
      <c r="G37" s="132">
        <f>C37/SUM($C$35:$C$44)</f>
        <v>0.12</v>
      </c>
      <c r="H37" s="132">
        <f t="shared" si="12"/>
        <v>4.8949200000000023E-3</v>
      </c>
      <c r="I37" s="130">
        <f t="shared" si="13"/>
        <v>1.1274325894196338</v>
      </c>
      <c r="J37" s="128">
        <f t="shared" si="8"/>
        <v>5321.8259400223724</v>
      </c>
      <c r="K37" s="153">
        <f>+L23</f>
        <v>0.75661375661375652</v>
      </c>
      <c r="L37" s="128">
        <f t="shared" si="9"/>
        <v>4026.5667165248633</v>
      </c>
      <c r="M37" s="133"/>
      <c r="R37" s="6"/>
    </row>
    <row r="38" spans="1:19" s="5" customFormat="1" x14ac:dyDescent="0.2">
      <c r="A38" s="125">
        <v>6</v>
      </c>
      <c r="B38" s="118">
        <f>'Data Sheet'!C25</f>
        <v>10</v>
      </c>
      <c r="C38" s="126">
        <f>'Data Sheet'!D25</f>
        <v>4000</v>
      </c>
      <c r="D38" s="127">
        <f t="shared" si="10"/>
        <v>1</v>
      </c>
      <c r="E38" s="128">
        <f t="shared" si="11"/>
        <v>4000</v>
      </c>
      <c r="F38" s="132">
        <f>1+('Data Sheet'!F25)/100</f>
        <v>1.040551</v>
      </c>
      <c r="G38" s="132">
        <f t="shared" ref="G38:G44" si="14">C38/SUM($C$35:$C$44)</f>
        <v>0.08</v>
      </c>
      <c r="H38" s="132">
        <f t="shared" si="12"/>
        <v>3.2440800000000003E-3</v>
      </c>
      <c r="I38" s="130">
        <f t="shared" si="13"/>
        <v>1.172339731201044</v>
      </c>
      <c r="J38" s="128">
        <f t="shared" si="8"/>
        <v>3411.9802421965701</v>
      </c>
      <c r="K38" s="153">
        <f>+K23</f>
        <v>0.75661375661375652</v>
      </c>
      <c r="L38" s="128">
        <f t="shared" si="9"/>
        <v>2581.5511885402616</v>
      </c>
      <c r="M38" s="133"/>
      <c r="R38" s="6"/>
    </row>
    <row r="39" spans="1:19" x14ac:dyDescent="0.2">
      <c r="A39" s="125">
        <v>5</v>
      </c>
      <c r="B39" s="118">
        <f>'Data Sheet'!C26</f>
        <v>11</v>
      </c>
      <c r="C39" s="126">
        <f>'Data Sheet'!D26</f>
        <v>3000</v>
      </c>
      <c r="D39" s="127">
        <f t="shared" si="10"/>
        <v>1</v>
      </c>
      <c r="E39" s="128">
        <f t="shared" si="11"/>
        <v>3000</v>
      </c>
      <c r="F39" s="132">
        <f>1+('Data Sheet'!F26)/100</f>
        <v>1.0407</v>
      </c>
      <c r="G39" s="132">
        <f t="shared" si="14"/>
        <v>0.06</v>
      </c>
      <c r="H39" s="132">
        <f t="shared" si="12"/>
        <v>2.4419999999999976E-3</v>
      </c>
      <c r="I39" s="130">
        <f t="shared" si="13"/>
        <v>1.2207529229047365</v>
      </c>
      <c r="J39" s="128">
        <f t="shared" si="8"/>
        <v>2457.4997476652447</v>
      </c>
      <c r="K39" s="153">
        <f>+J23</f>
        <v>0.66760037348272627</v>
      </c>
      <c r="L39" s="128">
        <f t="shared" si="9"/>
        <v>1640.6277493750229</v>
      </c>
      <c r="M39" s="134"/>
      <c r="R39" s="6"/>
    </row>
    <row r="40" spans="1:19" x14ac:dyDescent="0.2">
      <c r="A40" s="125">
        <v>4</v>
      </c>
      <c r="B40" s="118">
        <f>'Data Sheet'!C27</f>
        <v>20</v>
      </c>
      <c r="C40" s="126">
        <f>'Data Sheet'!D27</f>
        <v>6000</v>
      </c>
      <c r="D40" s="127">
        <f t="shared" si="10"/>
        <v>1</v>
      </c>
      <c r="E40" s="128">
        <f t="shared" si="11"/>
        <v>6000</v>
      </c>
      <c r="F40" s="132">
        <f>1+('Data Sheet'!F27)/100</f>
        <v>1.041172</v>
      </c>
      <c r="G40" s="132">
        <f t="shared" si="14"/>
        <v>0.12</v>
      </c>
      <c r="H40" s="132">
        <f t="shared" si="12"/>
        <v>4.9406399999999979E-3</v>
      </c>
      <c r="I40" s="130">
        <f t="shared" si="13"/>
        <v>1.2738986614383367</v>
      </c>
      <c r="J40" s="128">
        <f t="shared" si="8"/>
        <v>4709.9507846452279</v>
      </c>
      <c r="K40" s="153">
        <f>+I23</f>
        <v>0.59056956115779624</v>
      </c>
      <c r="L40" s="128">
        <f t="shared" si="9"/>
        <v>2781.5535679627505</v>
      </c>
      <c r="M40" s="134"/>
      <c r="R40" s="6"/>
    </row>
    <row r="41" spans="1:19" x14ac:dyDescent="0.2">
      <c r="A41" s="125">
        <v>3</v>
      </c>
      <c r="B41" s="118">
        <f>'Data Sheet'!C28</f>
        <v>22</v>
      </c>
      <c r="C41" s="126">
        <f>'Data Sheet'!D28</f>
        <v>7000</v>
      </c>
      <c r="D41" s="127">
        <f t="shared" si="10"/>
        <v>1</v>
      </c>
      <c r="E41" s="128">
        <f t="shared" si="11"/>
        <v>7000</v>
      </c>
      <c r="F41" s="132">
        <f>1+('Data Sheet'!F28)/100</f>
        <v>1.0417890000000001</v>
      </c>
      <c r="G41" s="132">
        <f t="shared" si="14"/>
        <v>0.14000000000000001</v>
      </c>
      <c r="H41" s="132">
        <f t="shared" si="12"/>
        <v>5.8504600000000113E-3</v>
      </c>
      <c r="I41" s="130">
        <f t="shared" si="13"/>
        <v>1.3318593765349893</v>
      </c>
      <c r="J41" s="128">
        <f t="shared" si="8"/>
        <v>5255.8101278015092</v>
      </c>
      <c r="K41" s="153">
        <f>+F23</f>
        <v>0.49732173571182842</v>
      </c>
      <c r="L41" s="128">
        <f t="shared" si="9"/>
        <v>2613.8286153300533</v>
      </c>
      <c r="M41" s="134"/>
      <c r="R41" s="6"/>
    </row>
    <row r="42" spans="1:19" x14ac:dyDescent="0.2">
      <c r="A42" s="125">
        <v>2</v>
      </c>
      <c r="B42" s="118">
        <f>'Data Sheet'!C29</f>
        <v>15</v>
      </c>
      <c r="C42" s="126">
        <f>'Data Sheet'!D29</f>
        <v>3000</v>
      </c>
      <c r="D42" s="127">
        <f t="shared" si="10"/>
        <v>1</v>
      </c>
      <c r="E42" s="128">
        <f t="shared" si="11"/>
        <v>3000</v>
      </c>
      <c r="F42" s="132">
        <f>1+('Data Sheet'!F29)/100</f>
        <v>1.042424</v>
      </c>
      <c r="G42" s="132">
        <f t="shared" si="14"/>
        <v>0.06</v>
      </c>
      <c r="H42" s="132">
        <f t="shared" si="12"/>
        <v>2.5454400000000008E-3</v>
      </c>
      <c r="I42" s="130">
        <f t="shared" si="13"/>
        <v>1.3942967451761046</v>
      </c>
      <c r="J42" s="128">
        <f t="shared" si="8"/>
        <v>2151.6223217038992</v>
      </c>
      <c r="K42" s="153">
        <f>+E23</f>
        <v>0.38187204706443961</v>
      </c>
      <c r="L42" s="128">
        <f t="shared" si="9"/>
        <v>821.6444204986102</v>
      </c>
      <c r="M42" s="134"/>
      <c r="R42" s="6"/>
    </row>
    <row r="43" spans="1:19" x14ac:dyDescent="0.2">
      <c r="A43" s="125">
        <v>1</v>
      </c>
      <c r="B43" s="118">
        <f>'Data Sheet'!C30</f>
        <v>25</v>
      </c>
      <c r="C43" s="126">
        <f>'Data Sheet'!D30</f>
        <v>6000</v>
      </c>
      <c r="D43" s="127">
        <f t="shared" si="10"/>
        <v>1</v>
      </c>
      <c r="E43" s="128">
        <f t="shared" si="11"/>
        <v>6000</v>
      </c>
      <c r="F43" s="132">
        <f>1+('Data Sheet'!F30)/100</f>
        <v>1.042775</v>
      </c>
      <c r="G43" s="132">
        <f t="shared" si="14"/>
        <v>0.12</v>
      </c>
      <c r="H43" s="132">
        <f t="shared" si="12"/>
        <v>5.1330000000000004E-3</v>
      </c>
      <c r="I43" s="130">
        <f t="shared" si="13"/>
        <v>1.4578589107353428</v>
      </c>
      <c r="J43" s="128">
        <f t="shared" si="8"/>
        <v>4115.6246025025875</v>
      </c>
      <c r="K43" s="153">
        <f>+D23</f>
        <v>0.30004232269348829</v>
      </c>
      <c r="L43" s="128">
        <f t="shared" si="9"/>
        <v>1234.8615650693409</v>
      </c>
      <c r="M43" s="134"/>
      <c r="Q43" s="59"/>
      <c r="R43" s="6"/>
    </row>
    <row r="44" spans="1:19" x14ac:dyDescent="0.2">
      <c r="A44" s="125">
        <v>0</v>
      </c>
      <c r="B44" s="147">
        <f>'Data Sheet'!C31</f>
        <v>26</v>
      </c>
      <c r="C44" s="126">
        <f>'Data Sheet'!D31</f>
        <v>7000</v>
      </c>
      <c r="D44" s="127">
        <f t="shared" si="10"/>
        <v>1</v>
      </c>
      <c r="E44" s="142">
        <f t="shared" si="11"/>
        <v>7000</v>
      </c>
      <c r="F44" s="132">
        <f>1+('Data Sheet'!F31)/100</f>
        <v>1.043085</v>
      </c>
      <c r="G44" s="132">
        <f t="shared" si="14"/>
        <v>0.14000000000000001</v>
      </c>
      <c r="H44" s="132">
        <f t="shared" si="12"/>
        <v>6.0319000000000058E-3</v>
      </c>
      <c r="I44" s="130">
        <f t="shared" si="13"/>
        <v>1.5247442389583348</v>
      </c>
      <c r="J44" s="142">
        <f t="shared" si="8"/>
        <v>4590.9338898582864</v>
      </c>
      <c r="K44" s="153">
        <f>+C23</f>
        <v>0.21727202677804325</v>
      </c>
      <c r="L44" s="142">
        <f t="shared" si="9"/>
        <v>997.48151105351587</v>
      </c>
      <c r="M44" s="158">
        <f>SUM(L35:L44)</f>
        <v>23207.908460237424</v>
      </c>
      <c r="N44" s="2" t="s">
        <v>95</v>
      </c>
      <c r="P44" s="6"/>
      <c r="R44" s="6"/>
    </row>
    <row r="45" spans="1:19" ht="12" thickBot="1" x14ac:dyDescent="0.25">
      <c r="A45" s="146"/>
      <c r="B45" s="148">
        <f>SUM(B31:B44)</f>
        <v>214</v>
      </c>
      <c r="C45" s="143">
        <f>SUM(C31:C44)</f>
        <v>250000</v>
      </c>
      <c r="D45" s="111"/>
      <c r="E45" s="143">
        <f>SUM(E31:E44)</f>
        <v>250000</v>
      </c>
      <c r="F45" s="144"/>
      <c r="G45" s="222"/>
      <c r="H45" s="222"/>
      <c r="I45" s="145"/>
      <c r="J45" s="143">
        <f>SUM(J31:J44)</f>
        <v>239569.20547876731</v>
      </c>
      <c r="K45" s="111"/>
      <c r="L45" s="143">
        <f>SUM(L31:L44)</f>
        <v>223207.90846023741</v>
      </c>
      <c r="M45" s="143">
        <f>SUM(M31:M44)</f>
        <v>223207.90846023744</v>
      </c>
      <c r="Q45" s="6"/>
      <c r="R45" s="6"/>
      <c r="S45" s="75"/>
    </row>
    <row r="46" spans="1:19" ht="12" thickTop="1" x14ac:dyDescent="0.2">
      <c r="B46" s="21"/>
      <c r="C46" s="22"/>
      <c r="D46" s="6"/>
      <c r="E46" s="22"/>
      <c r="G46" s="223">
        <f>SUM(G35:G45)</f>
        <v>1</v>
      </c>
      <c r="H46" s="132">
        <f>SUM(H35:H45)</f>
        <v>4.1990039999999999E-2</v>
      </c>
      <c r="J46" s="22"/>
      <c r="L46" s="22"/>
      <c r="M46" s="177" t="str">
        <f>"Difference = "&amp;(TRUNC((M45-C45),2)&amp;" or "&amp;(TRUNC(((L45-C45)/L45),2))*100&amp;" %")</f>
        <v>Difference = -26792.09 or -12 %</v>
      </c>
      <c r="N46" s="22"/>
      <c r="P46" s="3"/>
      <c r="Q46" s="6"/>
      <c r="R46" s="6"/>
      <c r="S46" s="75"/>
    </row>
    <row r="47" spans="1:19" x14ac:dyDescent="0.2">
      <c r="C47" s="225"/>
      <c r="D47" s="225"/>
      <c r="E47" s="226" t="s">
        <v>179</v>
      </c>
      <c r="F47" s="227">
        <f>H46</f>
        <v>4.1990039999999999E-2</v>
      </c>
      <c r="G47" s="2"/>
      <c r="H47" s="2"/>
      <c r="I47" s="228" t="s">
        <v>189</v>
      </c>
      <c r="J47" s="2"/>
      <c r="K47" s="2"/>
      <c r="P47" s="3"/>
      <c r="Q47" s="6"/>
      <c r="R47" s="6"/>
      <c r="S47" s="75"/>
    </row>
    <row r="48" spans="1:19" ht="12" x14ac:dyDescent="0.2">
      <c r="A48" s="220" t="s">
        <v>131</v>
      </c>
      <c r="F48" s="2"/>
      <c r="G48" s="2"/>
      <c r="H48" s="2"/>
      <c r="I48" s="228" t="s">
        <v>178</v>
      </c>
      <c r="J48" s="2"/>
      <c r="K48" s="2"/>
      <c r="P48" s="3"/>
      <c r="Q48" s="6"/>
      <c r="R48" s="6"/>
      <c r="S48" s="75"/>
    </row>
    <row r="49" spans="1:19" x14ac:dyDescent="0.2">
      <c r="F49" s="26"/>
      <c r="G49" s="26"/>
      <c r="H49" s="26"/>
      <c r="M49" s="50"/>
      <c r="P49" s="3"/>
      <c r="Q49" s="72"/>
      <c r="R49" s="6"/>
      <c r="S49" s="73"/>
    </row>
    <row r="50" spans="1:19" x14ac:dyDescent="0.2">
      <c r="A50" s="2" t="s">
        <v>133</v>
      </c>
      <c r="C50" s="2"/>
      <c r="D50" s="2"/>
      <c r="E50" s="2"/>
      <c r="F50" s="2"/>
      <c r="G50" s="2"/>
      <c r="H50" s="2"/>
      <c r="I50" s="2"/>
      <c r="J50" s="2"/>
      <c r="K50" s="2"/>
      <c r="P50" s="3"/>
      <c r="Q50" s="6"/>
      <c r="R50" s="6"/>
      <c r="S50" s="75"/>
    </row>
    <row r="51" spans="1:19" x14ac:dyDescent="0.2">
      <c r="A51" s="2" t="s">
        <v>130</v>
      </c>
      <c r="C51" s="2"/>
      <c r="D51" s="2"/>
      <c r="E51" s="2"/>
      <c r="F51" s="2"/>
      <c r="G51" s="2"/>
      <c r="H51" s="2"/>
      <c r="I51" s="2"/>
      <c r="J51" s="2"/>
      <c r="K51" s="2"/>
      <c r="P51" s="3"/>
      <c r="Q51" s="6"/>
      <c r="R51" s="6"/>
      <c r="S51" s="75"/>
    </row>
    <row r="52" spans="1:19" x14ac:dyDescent="0.2">
      <c r="A52" s="2" t="s">
        <v>134</v>
      </c>
      <c r="C52" s="2"/>
      <c r="D52" s="2"/>
      <c r="E52" s="2"/>
      <c r="F52" s="2"/>
      <c r="G52" s="2"/>
      <c r="H52" s="2"/>
      <c r="I52" s="2"/>
      <c r="J52" s="2"/>
      <c r="K52" s="2"/>
      <c r="O52" s="16"/>
      <c r="P52" s="176"/>
      <c r="Q52" s="6"/>
      <c r="R52" s="6"/>
      <c r="S52" s="75"/>
    </row>
    <row r="53" spans="1:19" x14ac:dyDescent="0.2">
      <c r="C53" s="2"/>
      <c r="D53" s="2"/>
      <c r="E53" s="2"/>
      <c r="F53" s="2"/>
      <c r="G53" s="2"/>
      <c r="H53" s="2"/>
      <c r="I53" s="2"/>
      <c r="J53" s="2"/>
      <c r="K53" s="2"/>
      <c r="P53" s="3"/>
      <c r="Q53" s="6"/>
      <c r="R53" s="6"/>
      <c r="S53" s="75"/>
    </row>
    <row r="54" spans="1:19" x14ac:dyDescent="0.2">
      <c r="F54" s="2"/>
      <c r="G54" s="2"/>
      <c r="H54" s="2"/>
      <c r="I54" s="2"/>
      <c r="J54" s="2"/>
      <c r="K54" s="2"/>
      <c r="P54" s="3"/>
      <c r="Q54" s="6"/>
      <c r="R54" s="6"/>
      <c r="S54" s="75"/>
    </row>
    <row r="55" spans="1:19" ht="12" x14ac:dyDescent="0.2">
      <c r="A55" s="220" t="s">
        <v>118</v>
      </c>
      <c r="F55" s="2"/>
      <c r="G55" s="2"/>
      <c r="H55" s="2"/>
      <c r="I55" s="2"/>
      <c r="J55" s="2"/>
      <c r="K55" s="2"/>
      <c r="P55" s="3"/>
      <c r="Q55" s="6"/>
      <c r="R55" s="6"/>
      <c r="S55" s="75"/>
    </row>
    <row r="56" spans="1:19" x14ac:dyDescent="0.2">
      <c r="C56" s="114" t="s">
        <v>94</v>
      </c>
      <c r="F56" s="2"/>
      <c r="G56" s="2"/>
      <c r="H56" s="2"/>
      <c r="I56" s="2"/>
      <c r="J56" s="2"/>
      <c r="K56" s="2"/>
      <c r="P56" s="3"/>
      <c r="Q56" s="6"/>
      <c r="R56" s="6"/>
      <c r="S56" s="75"/>
    </row>
    <row r="57" spans="1:19" x14ac:dyDescent="0.2">
      <c r="C57" s="114" t="s">
        <v>12</v>
      </c>
      <c r="D57" s="115" t="s">
        <v>15</v>
      </c>
      <c r="E57" s="114" t="s">
        <v>16</v>
      </c>
      <c r="F57" s="26"/>
      <c r="G57" s="26"/>
      <c r="H57" s="26"/>
      <c r="I57" s="114" t="s">
        <v>17</v>
      </c>
      <c r="J57" s="113" t="s">
        <v>19</v>
      </c>
      <c r="M57" s="50"/>
      <c r="P57" s="3"/>
      <c r="Q57" s="72"/>
      <c r="R57" s="6"/>
      <c r="S57" s="73"/>
    </row>
    <row r="58" spans="1:19" x14ac:dyDescent="0.2">
      <c r="A58" s="17"/>
      <c r="B58" s="155"/>
      <c r="C58" s="113" t="s">
        <v>22</v>
      </c>
      <c r="D58" s="114" t="s">
        <v>23</v>
      </c>
      <c r="E58" s="114" t="s">
        <v>24</v>
      </c>
      <c r="F58" s="26"/>
      <c r="G58" s="26"/>
      <c r="H58" s="26"/>
      <c r="I58" s="114" t="s">
        <v>23</v>
      </c>
      <c r="J58" s="113" t="s">
        <v>24</v>
      </c>
      <c r="K58" s="18"/>
      <c r="P58" s="16"/>
      <c r="Q58" s="72"/>
      <c r="R58" s="6"/>
      <c r="S58" s="73"/>
    </row>
    <row r="59" spans="1:19" x14ac:dyDescent="0.2">
      <c r="A59" s="125">
        <v>10</v>
      </c>
      <c r="B59" s="155"/>
      <c r="C59" s="251">
        <v>30000</v>
      </c>
      <c r="D59" s="127">
        <f>(1+$D$30)^(10-A59)</f>
        <v>1</v>
      </c>
      <c r="E59" s="128">
        <f>C59*D59</f>
        <v>30000</v>
      </c>
      <c r="F59" s="26"/>
      <c r="G59" s="26"/>
      <c r="H59" s="26"/>
      <c r="I59" s="130">
        <v>1</v>
      </c>
      <c r="J59" s="128">
        <f>+E59/I59</f>
        <v>30000</v>
      </c>
      <c r="K59" s="18"/>
      <c r="P59" s="16"/>
      <c r="Q59" s="72"/>
      <c r="R59" s="6"/>
      <c r="S59" s="73"/>
    </row>
    <row r="60" spans="1:19" x14ac:dyDescent="0.2">
      <c r="A60" s="125">
        <v>11</v>
      </c>
      <c r="B60" s="155"/>
      <c r="C60" s="251">
        <v>30000</v>
      </c>
      <c r="D60" s="213">
        <f>D35</f>
        <v>1</v>
      </c>
      <c r="E60" s="128">
        <f t="shared" ref="E60:E68" si="15">C60*D60</f>
        <v>30000</v>
      </c>
      <c r="F60" s="26"/>
      <c r="G60" s="26"/>
      <c r="H60" s="26"/>
      <c r="I60" s="213">
        <f>I35</f>
        <v>1.0441309999999999</v>
      </c>
      <c r="J60" s="128">
        <f t="shared" ref="J60:J68" si="16">+E60/I60</f>
        <v>28732.026919993757</v>
      </c>
      <c r="K60" s="18"/>
      <c r="P60" s="16"/>
      <c r="Q60" s="72"/>
      <c r="R60" s="6"/>
      <c r="S60" s="73"/>
    </row>
    <row r="61" spans="1:19" x14ac:dyDescent="0.2">
      <c r="A61" s="125">
        <v>12</v>
      </c>
      <c r="B61" s="155"/>
      <c r="C61" s="251">
        <v>30000</v>
      </c>
      <c r="D61" s="213">
        <f t="shared" ref="D61:D68" si="17">D36</f>
        <v>1</v>
      </c>
      <c r="E61" s="128">
        <f t="shared" si="15"/>
        <v>30000</v>
      </c>
      <c r="F61" s="26"/>
      <c r="G61" s="26"/>
      <c r="H61" s="26"/>
      <c r="I61" s="213">
        <f t="shared" ref="I61:I68" si="18">I36</f>
        <v>1.0848784806249998</v>
      </c>
      <c r="J61" s="128">
        <f t="shared" si="16"/>
        <v>27652.866690393716</v>
      </c>
      <c r="K61" s="18"/>
      <c r="P61" s="16"/>
      <c r="Q61" s="72"/>
      <c r="R61" s="6"/>
      <c r="S61" s="73"/>
    </row>
    <row r="62" spans="1:19" x14ac:dyDescent="0.2">
      <c r="A62" s="125">
        <v>13</v>
      </c>
      <c r="B62" s="155"/>
      <c r="C62" s="251">
        <v>30000</v>
      </c>
      <c r="D62" s="213">
        <f t="shared" si="17"/>
        <v>1</v>
      </c>
      <c r="E62" s="128">
        <f t="shared" si="15"/>
        <v>30000</v>
      </c>
      <c r="F62" s="26"/>
      <c r="G62" s="26"/>
      <c r="H62" s="26"/>
      <c r="I62" s="213">
        <f t="shared" si="18"/>
        <v>1.1274325894196338</v>
      </c>
      <c r="J62" s="128">
        <f t="shared" si="16"/>
        <v>26609.129700111862</v>
      </c>
      <c r="K62" s="18"/>
      <c r="P62" s="16"/>
      <c r="Q62" s="72"/>
      <c r="R62" s="6"/>
      <c r="S62" s="73"/>
    </row>
    <row r="63" spans="1:19" x14ac:dyDescent="0.2">
      <c r="A63" s="125">
        <v>14</v>
      </c>
      <c r="B63" s="155"/>
      <c r="C63" s="251">
        <v>30000</v>
      </c>
      <c r="D63" s="213">
        <f t="shared" si="17"/>
        <v>1</v>
      </c>
      <c r="E63" s="128">
        <f t="shared" si="15"/>
        <v>30000</v>
      </c>
      <c r="F63" s="26"/>
      <c r="G63" s="26"/>
      <c r="H63" s="26"/>
      <c r="I63" s="213">
        <f t="shared" si="18"/>
        <v>1.172339731201044</v>
      </c>
      <c r="J63" s="128">
        <f t="shared" si="16"/>
        <v>25589.851816474278</v>
      </c>
      <c r="K63" s="18"/>
      <c r="P63" s="16"/>
      <c r="Q63" s="72"/>
      <c r="R63" s="6"/>
      <c r="S63" s="73"/>
    </row>
    <row r="64" spans="1:19" x14ac:dyDescent="0.2">
      <c r="A64" s="125">
        <v>15</v>
      </c>
      <c r="B64" s="155"/>
      <c r="C64" s="251">
        <v>30000</v>
      </c>
      <c r="D64" s="127">
        <f t="shared" si="17"/>
        <v>1</v>
      </c>
      <c r="E64" s="128">
        <f t="shared" si="15"/>
        <v>30000</v>
      </c>
      <c r="F64" s="26"/>
      <c r="G64" s="26"/>
      <c r="H64" s="26"/>
      <c r="I64" s="127">
        <f t="shared" si="18"/>
        <v>1.2207529229047365</v>
      </c>
      <c r="J64" s="128">
        <f t="shared" si="16"/>
        <v>24574.99747665245</v>
      </c>
      <c r="K64" s="18"/>
      <c r="P64" s="16"/>
      <c r="Q64" s="72"/>
      <c r="R64" s="6"/>
      <c r="S64" s="73"/>
    </row>
    <row r="65" spans="1:19" x14ac:dyDescent="0.2">
      <c r="A65" s="125">
        <v>16</v>
      </c>
      <c r="B65" s="155"/>
      <c r="C65" s="251">
        <v>20000</v>
      </c>
      <c r="D65" s="127">
        <f t="shared" si="17"/>
        <v>1</v>
      </c>
      <c r="E65" s="128">
        <f t="shared" si="15"/>
        <v>20000</v>
      </c>
      <c r="F65" s="26"/>
      <c r="G65" s="26"/>
      <c r="H65" s="26"/>
      <c r="I65" s="127">
        <f t="shared" si="18"/>
        <v>1.2738986614383367</v>
      </c>
      <c r="J65" s="128">
        <f t="shared" si="16"/>
        <v>15699.835948817426</v>
      </c>
      <c r="K65" s="18"/>
      <c r="M65" s="1" t="s">
        <v>119</v>
      </c>
      <c r="P65" s="16"/>
      <c r="Q65" s="72"/>
      <c r="R65" s="6"/>
      <c r="S65" s="73"/>
    </row>
    <row r="66" spans="1:19" x14ac:dyDescent="0.2">
      <c r="A66" s="125">
        <v>17</v>
      </c>
      <c r="B66" s="155"/>
      <c r="C66" s="251"/>
      <c r="D66" s="127">
        <f t="shared" si="17"/>
        <v>1</v>
      </c>
      <c r="E66" s="128">
        <f t="shared" si="15"/>
        <v>0</v>
      </c>
      <c r="F66" s="26"/>
      <c r="G66" s="26"/>
      <c r="H66" s="26"/>
      <c r="I66" s="127">
        <f t="shared" si="18"/>
        <v>1.3318593765349893</v>
      </c>
      <c r="J66" s="128">
        <f t="shared" si="16"/>
        <v>0</v>
      </c>
      <c r="K66" s="18"/>
      <c r="P66" s="16"/>
      <c r="Q66" s="72"/>
      <c r="R66" s="6"/>
      <c r="S66" s="73"/>
    </row>
    <row r="67" spans="1:19" x14ac:dyDescent="0.2">
      <c r="A67" s="125">
        <v>18</v>
      </c>
      <c r="B67" s="155"/>
      <c r="C67" s="251"/>
      <c r="D67" s="127">
        <f t="shared" si="17"/>
        <v>1</v>
      </c>
      <c r="E67" s="128">
        <f t="shared" si="15"/>
        <v>0</v>
      </c>
      <c r="F67" s="26"/>
      <c r="G67" s="26"/>
      <c r="H67" s="26"/>
      <c r="I67" s="127">
        <f t="shared" si="18"/>
        <v>1.3942967451761046</v>
      </c>
      <c r="J67" s="128">
        <f t="shared" si="16"/>
        <v>0</v>
      </c>
      <c r="K67" s="2"/>
      <c r="L67" s="175" t="s">
        <v>120</v>
      </c>
      <c r="M67" s="159">
        <f>M44</f>
        <v>23207.908460237424</v>
      </c>
      <c r="P67" s="16"/>
      <c r="Q67" s="72"/>
      <c r="R67" s="6"/>
      <c r="S67" s="73"/>
    </row>
    <row r="68" spans="1:19" x14ac:dyDescent="0.2">
      <c r="A68" s="125">
        <v>19</v>
      </c>
      <c r="B68" s="155"/>
      <c r="C68" s="251"/>
      <c r="D68" s="127">
        <f t="shared" si="17"/>
        <v>1</v>
      </c>
      <c r="E68" s="128">
        <f t="shared" si="15"/>
        <v>0</v>
      </c>
      <c r="F68" s="26"/>
      <c r="G68" s="26"/>
      <c r="H68" s="26"/>
      <c r="I68" s="127">
        <f t="shared" si="18"/>
        <v>1.4578589107353428</v>
      </c>
      <c r="J68" s="128">
        <f t="shared" si="16"/>
        <v>0</v>
      </c>
      <c r="K68" s="2"/>
      <c r="L68" s="175" t="s">
        <v>94</v>
      </c>
      <c r="M68" s="159">
        <f>J70</f>
        <v>178858.70855244348</v>
      </c>
      <c r="P68" s="16"/>
      <c r="Q68" s="72"/>
      <c r="R68" s="6"/>
      <c r="S68" s="73"/>
    </row>
    <row r="69" spans="1:19" x14ac:dyDescent="0.2">
      <c r="A69" s="17"/>
      <c r="F69" s="26"/>
      <c r="G69" s="26"/>
      <c r="H69" s="26"/>
      <c r="K69" s="2"/>
      <c r="M69" s="160"/>
      <c r="P69" s="16"/>
      <c r="R69" s="6"/>
      <c r="S69" s="73"/>
    </row>
    <row r="70" spans="1:19" ht="12" thickBot="1" x14ac:dyDescent="0.25">
      <c r="A70" s="17"/>
      <c r="C70" s="143">
        <f>SUM(C59:C69)</f>
        <v>200000</v>
      </c>
      <c r="F70" s="26"/>
      <c r="G70" s="26"/>
      <c r="H70" s="26"/>
      <c r="I70" s="18"/>
      <c r="J70" s="157">
        <f>SUM(J59:J69)</f>
        <v>178858.70855244348</v>
      </c>
      <c r="K70" s="2"/>
      <c r="M70" s="161">
        <f>SUM(M67:M68)</f>
        <v>202066.61701268092</v>
      </c>
      <c r="P70" s="16"/>
      <c r="R70" s="6"/>
      <c r="S70" s="73"/>
    </row>
    <row r="71" spans="1:19" ht="12" thickTop="1" x14ac:dyDescent="0.2">
      <c r="A71" s="17"/>
      <c r="C71" s="3" t="str">
        <f>IF(M32=C70, "Total Agrees", "Total Does Not Agree with Above")</f>
        <v>Total Agrees</v>
      </c>
      <c r="F71" s="26"/>
      <c r="G71" s="26"/>
      <c r="H71" s="26"/>
      <c r="I71" s="18"/>
      <c r="J71" s="177" t="str">
        <f>"Difference = "&amp;(TRUNC((J70-C70),2)&amp;" or "&amp;(TRUNC(((J70-C70)/J70),2))*100&amp;" %")</f>
        <v>Difference = -21141.29 or -11 %</v>
      </c>
      <c r="K71" s="2"/>
      <c r="P71" s="16"/>
      <c r="Q71" s="72"/>
      <c r="R71" s="6"/>
      <c r="S71" s="73"/>
    </row>
    <row r="72" spans="1:19" x14ac:dyDescent="0.2">
      <c r="A72" s="17"/>
      <c r="B72" s="249" t="s">
        <v>193</v>
      </c>
      <c r="C72" s="250"/>
      <c r="D72" s="250"/>
      <c r="E72" s="250"/>
      <c r="F72" s="250"/>
      <c r="G72" s="250"/>
      <c r="H72" s="250"/>
      <c r="I72" s="250"/>
      <c r="L72" s="50"/>
      <c r="P72" s="16"/>
      <c r="R72" s="6"/>
    </row>
    <row r="73" spans="1:19" x14ac:dyDescent="0.2">
      <c r="A73" s="17"/>
      <c r="B73" s="280" t="s">
        <v>233</v>
      </c>
      <c r="L73" s="50"/>
      <c r="P73" s="16"/>
      <c r="R73" s="6"/>
    </row>
    <row r="74" spans="1:19" x14ac:dyDescent="0.2">
      <c r="A74" s="17"/>
      <c r="L74" s="50"/>
      <c r="P74" s="16"/>
      <c r="R74" s="6"/>
    </row>
    <row r="75" spans="1:19" s="206" customFormat="1" x14ac:dyDescent="0.2"/>
    <row r="76" spans="1:19" s="206" customFormat="1" ht="12" x14ac:dyDescent="0.2">
      <c r="A76" s="214" t="s">
        <v>163</v>
      </c>
      <c r="C76" s="207"/>
      <c r="D76" s="207"/>
      <c r="E76" s="207"/>
      <c r="F76" s="207"/>
      <c r="G76" s="207"/>
      <c r="H76" s="207"/>
      <c r="I76" s="207"/>
      <c r="J76" s="208"/>
      <c r="K76" s="207"/>
      <c r="R76" s="209"/>
    </row>
    <row r="77" spans="1:19" s="206" customFormat="1" ht="12.75" x14ac:dyDescent="0.2">
      <c r="A77" s="258"/>
      <c r="B77" s="215" t="s">
        <v>164</v>
      </c>
      <c r="C77" s="216"/>
      <c r="D77" s="216"/>
      <c r="E77" s="216"/>
      <c r="F77" s="216"/>
      <c r="G77" s="216"/>
      <c r="H77" s="216"/>
      <c r="I77" s="216"/>
      <c r="J77" s="217"/>
      <c r="K77" s="216"/>
      <c r="R77" s="209"/>
    </row>
    <row r="78" spans="1:19" s="206" customFormat="1" ht="12.75" x14ac:dyDescent="0.2">
      <c r="A78" s="258"/>
      <c r="B78" s="215" t="s">
        <v>165</v>
      </c>
      <c r="C78" s="216"/>
      <c r="D78" s="216"/>
      <c r="E78" s="216"/>
      <c r="F78" s="216"/>
      <c r="G78" s="216"/>
      <c r="H78" s="216"/>
      <c r="I78" s="216"/>
      <c r="J78" s="217"/>
      <c r="K78" s="216"/>
      <c r="R78" s="209"/>
    </row>
    <row r="79" spans="1:19" s="206" customFormat="1" ht="12.75" x14ac:dyDescent="0.2">
      <c r="A79" s="258"/>
      <c r="B79" s="215" t="s">
        <v>166</v>
      </c>
      <c r="C79" s="216"/>
      <c r="D79" s="216"/>
      <c r="E79" s="216"/>
      <c r="F79" s="216"/>
      <c r="G79" s="216"/>
      <c r="H79" s="216"/>
      <c r="I79" s="216"/>
      <c r="J79" s="217"/>
      <c r="K79" s="216"/>
      <c r="R79" s="209"/>
    </row>
    <row r="80" spans="1:19" s="206" customFormat="1" ht="12.75" x14ac:dyDescent="0.2">
      <c r="A80" s="258"/>
      <c r="B80" s="215" t="s">
        <v>167</v>
      </c>
      <c r="C80" s="216"/>
      <c r="D80" s="216"/>
      <c r="E80" s="216"/>
      <c r="F80" s="216"/>
      <c r="G80" s="216"/>
      <c r="H80" s="216"/>
      <c r="I80" s="216"/>
      <c r="J80" s="217"/>
      <c r="K80" s="216"/>
      <c r="R80" s="209"/>
    </row>
    <row r="81" spans="1:18" s="206" customFormat="1" ht="12.75" x14ac:dyDescent="0.2">
      <c r="A81" s="258"/>
      <c r="B81" s="215"/>
      <c r="C81" s="216"/>
      <c r="D81" s="216"/>
      <c r="E81" s="216"/>
      <c r="F81" s="216"/>
      <c r="G81" s="216"/>
      <c r="H81" s="216"/>
      <c r="I81" s="216"/>
      <c r="J81" s="217"/>
      <c r="K81" s="216"/>
      <c r="R81" s="209"/>
    </row>
    <row r="82" spans="1:18" s="206" customFormat="1" ht="12.75" x14ac:dyDescent="0.2">
      <c r="A82" s="258"/>
      <c r="C82" s="218">
        <v>6.0999999999999999E-2</v>
      </c>
      <c r="D82" s="219" t="s">
        <v>88</v>
      </c>
      <c r="E82" s="216"/>
      <c r="F82" s="216"/>
      <c r="G82" s="216"/>
      <c r="H82" s="216"/>
      <c r="I82" s="216"/>
      <c r="M82" s="255">
        <v>3500</v>
      </c>
      <c r="N82" s="206" t="s">
        <v>168</v>
      </c>
      <c r="R82" s="209"/>
    </row>
    <row r="83" spans="1:18" s="206" customFormat="1" ht="12.75" x14ac:dyDescent="0.2">
      <c r="A83" s="258"/>
      <c r="B83" s="215"/>
      <c r="C83" s="221">
        <f>M70*C82</f>
        <v>12326.063637773535</v>
      </c>
      <c r="D83" s="217" t="s">
        <v>169</v>
      </c>
      <c r="F83" s="216"/>
      <c r="G83" s="216"/>
      <c r="H83" s="216"/>
      <c r="I83" s="216"/>
      <c r="J83" s="217"/>
      <c r="K83" s="216"/>
      <c r="M83" s="210">
        <f>C83-M82</f>
        <v>8826.0636377735354</v>
      </c>
      <c r="N83" s="206" t="s">
        <v>170</v>
      </c>
      <c r="R83" s="209"/>
    </row>
    <row r="84" spans="1:18" s="206" customFormat="1" ht="13.5" thickBot="1" x14ac:dyDescent="0.25">
      <c r="A84" s="258"/>
      <c r="B84" s="215"/>
      <c r="C84" s="216"/>
      <c r="D84" s="216"/>
      <c r="F84" s="216"/>
      <c r="G84" s="216"/>
      <c r="H84" s="216"/>
      <c r="I84" s="216"/>
      <c r="J84" s="217"/>
      <c r="K84" s="216"/>
      <c r="M84" s="211">
        <f>SUM(M82:M83)</f>
        <v>12326.063637773535</v>
      </c>
      <c r="R84" s="209"/>
    </row>
    <row r="85" spans="1:18" s="206" customFormat="1" ht="13.5" thickTop="1" x14ac:dyDescent="0.2">
      <c r="A85" s="258"/>
      <c r="B85" s="215"/>
      <c r="C85" s="247" t="s">
        <v>184</v>
      </c>
      <c r="D85" s="248"/>
      <c r="E85" s="248"/>
      <c r="F85" s="248"/>
      <c r="G85" s="248"/>
      <c r="H85" s="248"/>
      <c r="I85" s="248"/>
      <c r="J85" s="217"/>
      <c r="K85" s="216"/>
      <c r="M85" s="212" t="s">
        <v>206</v>
      </c>
      <c r="R85" s="209"/>
    </row>
    <row r="86" spans="1:18" s="206" customFormat="1" ht="12.75" x14ac:dyDescent="0.2">
      <c r="A86" s="258"/>
      <c r="B86" s="215"/>
      <c r="C86" s="216"/>
      <c r="D86" s="216"/>
      <c r="E86" s="216"/>
      <c r="F86" s="216"/>
      <c r="G86" s="216"/>
      <c r="H86" s="216"/>
      <c r="I86" s="216"/>
      <c r="J86" s="217"/>
      <c r="K86" s="216"/>
      <c r="R86" s="209"/>
    </row>
    <row r="87" spans="1:18" s="206" customFormat="1" ht="12.75" x14ac:dyDescent="0.2">
      <c r="A87" s="258"/>
      <c r="B87" s="215" t="s">
        <v>171</v>
      </c>
      <c r="C87" s="216"/>
      <c r="D87" s="216"/>
      <c r="E87" s="216"/>
      <c r="F87" s="216"/>
      <c r="G87" s="216"/>
      <c r="H87" s="216"/>
      <c r="I87" s="216"/>
      <c r="J87" s="217"/>
      <c r="K87" s="216"/>
      <c r="R87" s="209"/>
    </row>
    <row r="88" spans="1:18" ht="12.75" x14ac:dyDescent="0.2">
      <c r="A88" s="258"/>
      <c r="B88" s="2" t="s">
        <v>173</v>
      </c>
      <c r="C88" s="216"/>
      <c r="D88" s="216"/>
      <c r="E88" s="216"/>
      <c r="F88" s="216"/>
      <c r="G88" s="216"/>
      <c r="H88" s="216"/>
      <c r="I88" s="216"/>
      <c r="J88" s="217"/>
      <c r="K88" s="216"/>
      <c r="L88" s="206"/>
      <c r="M88" s="206"/>
      <c r="N88" s="206"/>
      <c r="O88" s="206"/>
      <c r="P88" s="206"/>
      <c r="Q88" s="206"/>
      <c r="R88" s="209"/>
    </row>
    <row r="89" spans="1:18" ht="12.75" x14ac:dyDescent="0.2">
      <c r="A89" s="258"/>
      <c r="B89" s="2" t="s">
        <v>239</v>
      </c>
      <c r="C89" s="207"/>
      <c r="D89" s="207"/>
      <c r="E89" s="207"/>
      <c r="F89" s="207"/>
      <c r="G89" s="207"/>
      <c r="H89" s="207"/>
      <c r="I89" s="207"/>
      <c r="J89" s="208"/>
      <c r="K89" s="207"/>
      <c r="L89" s="206"/>
      <c r="M89" s="206"/>
      <c r="N89" s="206"/>
      <c r="O89" s="206"/>
      <c r="P89" s="206"/>
      <c r="Q89" s="206"/>
      <c r="R89" s="209"/>
    </row>
    <row r="90" spans="1:18" x14ac:dyDescent="0.2">
      <c r="A90" s="17"/>
      <c r="B90" s="20"/>
      <c r="C90" s="18"/>
      <c r="D90" s="18"/>
      <c r="E90" s="18"/>
      <c r="F90" s="18"/>
      <c r="G90" s="18"/>
      <c r="H90" s="18"/>
      <c r="I90" s="18"/>
      <c r="J90" s="19"/>
      <c r="K90" s="18"/>
      <c r="R90" s="6"/>
    </row>
    <row r="91" spans="1:18" x14ac:dyDescent="0.2"/>
    <row r="92" spans="1:18" x14ac:dyDescent="0.2"/>
    <row r="93" spans="1:18" x14ac:dyDescent="0.2"/>
    <row r="94" spans="1:18" x14ac:dyDescent="0.2"/>
    <row r="95" spans="1:18" x14ac:dyDescent="0.2"/>
    <row r="96" spans="1:18"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sheetData>
  <mergeCells count="2">
    <mergeCell ref="B30:C30"/>
    <mergeCell ref="Q14:S16"/>
  </mergeCells>
  <phoneticPr fontId="0" type="noConversion"/>
  <conditionalFormatting sqref="D16:O16">
    <cfRule type="cellIs" dxfId="9" priority="9" stopIfTrue="1" operator="lessThan">
      <formula>0</formula>
    </cfRule>
  </conditionalFormatting>
  <conditionalFormatting sqref="C23:O23">
    <cfRule type="cellIs" dxfId="8" priority="10" stopIfTrue="1" operator="greaterThan">
      <formula>1</formula>
    </cfRule>
  </conditionalFormatting>
  <conditionalFormatting sqref="D14:O15">
    <cfRule type="cellIs" dxfId="7" priority="11" stopIfTrue="1" operator="lessThan">
      <formula>0</formula>
    </cfRule>
  </conditionalFormatting>
  <conditionalFormatting sqref="C70">
    <cfRule type="cellIs" dxfId="6" priority="7" stopIfTrue="1" operator="notEqual">
      <formula>$M$32</formula>
    </cfRule>
  </conditionalFormatting>
  <conditionalFormatting sqref="C71">
    <cfRule type="cellIs" dxfId="5" priority="6" stopIfTrue="1" operator="equal">
      <formula>"Total does not agree with above"</formula>
    </cfRule>
  </conditionalFormatting>
  <conditionalFormatting sqref="D17">
    <cfRule type="notContainsBlanks" dxfId="4" priority="12" stopIfTrue="1">
      <formula>LEN(TRIM(D17))&gt;0</formula>
    </cfRule>
  </conditionalFormatting>
  <conditionalFormatting sqref="E17:F17">
    <cfRule type="notContainsBlanks" dxfId="3" priority="4" stopIfTrue="1">
      <formula>LEN(TRIM(E17))&gt;0</formula>
    </cfRule>
  </conditionalFormatting>
  <conditionalFormatting sqref="I17:O17">
    <cfRule type="notContainsBlanks" dxfId="2" priority="3" stopIfTrue="1">
      <formula>LEN(TRIM(I17))&gt;0</formula>
    </cfRule>
  </conditionalFormatting>
  <conditionalFormatting sqref="I18:O18">
    <cfRule type="notContainsBlanks" dxfId="1" priority="2" stopIfTrue="1">
      <formula>LEN(TRIM(I18))&gt;0</formula>
    </cfRule>
  </conditionalFormatting>
  <conditionalFormatting sqref="D18:F18">
    <cfRule type="notContainsBlanks" dxfId="0" priority="1" stopIfTrue="1">
      <formula>LEN(TRIM(D18))&gt;0</formula>
    </cfRule>
  </conditionalFormatting>
  <hyperlinks>
    <hyperlink ref="S17" location="'Data Sheet'!B75" display="(See Guidance here)" xr:uid="{00000000-0004-0000-0100-000000000000}"/>
    <hyperlink ref="S18" location="'Data Sheet'!B75" display="(See Guidance here)" xr:uid="{00000000-0004-0000-0100-000001000000}"/>
  </hyperlinks>
  <pageMargins left="0.45" right="0.55000000000000004" top="0.54" bottom="0.69" header="0.1" footer="0.28999999999999998"/>
  <pageSetup paperSize="9" scale="90" fitToHeight="2" orientation="landscape" r:id="rId1"/>
  <headerFooter alignWithMargins="0">
    <oddFooter>&amp;L&amp;8Employee Entitlement Calculations&amp;R&amp;8 4 / 4</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 Sheet</vt:lpstr>
      <vt:lpstr>LSL Provision</vt:lpstr>
      <vt:lpstr>'Data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Tongs</dc:creator>
  <cp:lastModifiedBy>Tongs, Jeff</cp:lastModifiedBy>
  <cp:revision>1</cp:revision>
  <cp:lastPrinted>2024-05-13T23:36:24Z</cp:lastPrinted>
  <dcterms:created xsi:type="dcterms:W3CDTF">2004-07-02T04:58:56Z</dcterms:created>
  <dcterms:modified xsi:type="dcterms:W3CDTF">2024-07-01T05:22:39Z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1817065865</vt:i4>
  </property>
  <property fmtid="{D5CDD505-2E9C-101B-9397-08002B2CF9AE}" pid="3" name="_NewReviewCycle">
    <vt:lpwstr/>
  </property>
  <property fmtid="{D5CDD505-2E9C-101B-9397-08002B2CF9AE}" pid="4" name="_EmailSubject">
    <vt:lpwstr>Website update please.</vt:lpwstr>
  </property>
  <property fmtid="{D5CDD505-2E9C-101B-9397-08002B2CF9AE}" pid="5" name="_AuthorEmail">
    <vt:lpwstr>Jeff.Tongs@audit.tas.gov.au</vt:lpwstr>
  </property>
  <property fmtid="{D5CDD505-2E9C-101B-9397-08002B2CF9AE}" pid="6" name="_AuthorEmailDisplayName">
    <vt:lpwstr>Tongs, Jeff</vt:lpwstr>
  </property>
  <property fmtid="{D5CDD505-2E9C-101B-9397-08002B2CF9AE}" pid="7" name="_PreviousAdHocReviewCycleID">
    <vt:i4>297783685</vt:i4>
  </property>
</Properties>
</file>