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jefft\Documents\Offline Records (AP)\Sample Accounts 2024 - TECHNICAL ACCOUNTING - ADVICE\"/>
    </mc:Choice>
  </mc:AlternateContent>
  <xr:revisionPtr revIDLastSave="0" documentId="13_ncr:1_{F6E02ED5-8B45-46ED-B58D-26E6FE16E8EA}" xr6:coauthVersionLast="47" xr6:coauthVersionMax="47" xr10:uidLastSave="{00000000-0000-0000-0000-000000000000}"/>
  <bookViews>
    <workbookView xWindow="-76530" yWindow="-7260" windowWidth="18240" windowHeight="17595" tabRatio="926" activeTab="2" xr2:uid="{00000000-000D-0000-FFFF-FFFF00000000}"/>
  </bookViews>
  <sheets>
    <sheet name="1stPAGE" sheetId="62" r:id="rId1"/>
    <sheet name="Merge Details_Printing instr" sheetId="2" r:id="rId2"/>
    <sheet name="Background" sheetId="66" r:id="rId3"/>
    <sheet name="Checklist" sheetId="33" r:id="rId4"/>
    <sheet name="Cover" sheetId="3" r:id="rId5"/>
    <sheet name="Table of Contents" sheetId="4" r:id="rId6"/>
    <sheet name="Stat' of Comprehensive Income" sheetId="5" r:id="rId7"/>
    <sheet name="Stat' of Financial Position" sheetId="6" r:id="rId8"/>
    <sheet name="Stat of Cash Flows" sheetId="8" r:id="rId9"/>
    <sheet name="Statement Changes in Equity" sheetId="7" r:id="rId10"/>
    <sheet name="Note 1" sheetId="9" r:id="rId11"/>
    <sheet name="Note 1.5" sheetId="41" r:id="rId12"/>
    <sheet name="Notes 2 to 5" sheetId="10" r:id="rId13"/>
    <sheet name="Note 6" sheetId="11" r:id="rId14"/>
    <sheet name="Note 6 (cont) " sheetId="13" r:id="rId15"/>
    <sheet name="Note 6 to 8" sheetId="14" r:id="rId16"/>
    <sheet name="Note 9" sheetId="53" r:id="rId17"/>
    <sheet name="Note 9.11a &amp; b" sheetId="22" r:id="rId18"/>
    <sheet name="Note 9.11c" sheetId="35" r:id="rId19"/>
    <sheet name="Note 9.12 &amp; 9.13" sheetId="46" r:id="rId20"/>
    <sheet name="Notes 9.14" sheetId="63" r:id="rId21"/>
    <sheet name="Note 10.1(i)" sheetId="64" r:id="rId22"/>
    <sheet name="Note 10.1(ii) &amp; 10.2" sheetId="65" r:id="rId23"/>
    <sheet name="Note 10.3" sheetId="49" r:id="rId24"/>
    <sheet name="Note 10.4" sheetId="59" r:id="rId25"/>
    <sheet name="Note 10.5" sheetId="39" r:id="rId26"/>
    <sheet name="Note 10.6" sheetId="67" r:id="rId27"/>
    <sheet name="Certification" sheetId="28" r:id="rId28"/>
    <sheet name="Management Certification" sheetId="69" r:id="rId29"/>
    <sheet name="Submission Checklist" sheetId="58" r:id="rId30"/>
  </sheets>
  <definedNames>
    <definedName name="_xlnm._FilterDatabase" localSheetId="10" hidden="1">'Note 1'!#REF!</definedName>
    <definedName name="_xlnm._FilterDatabase" localSheetId="13" hidden="1">'Note 6'!$E$18:$K$115</definedName>
    <definedName name="_xlnm._FilterDatabase" localSheetId="12" hidden="1">'Notes 2 to 5'!#REF!</definedName>
    <definedName name="_xlnm._FilterDatabase" localSheetId="20" hidden="1">'Notes 9.14'!#REF!</definedName>
    <definedName name="_Toc134000080" localSheetId="10">'Note 1'!#REF!</definedName>
    <definedName name="_Toc134000091" localSheetId="10">'Note 1'!#REF!</definedName>
    <definedName name="_Toc134000092" localSheetId="10">'Note 1'!#REF!</definedName>
    <definedName name="_Toc134000093" localSheetId="10">'Note 1'!#REF!</definedName>
    <definedName name="_Toc134000094" localSheetId="10">'Note 1'!#REF!</definedName>
    <definedName name="_Toc134000095" localSheetId="10">'Note 1'!#REF!</definedName>
    <definedName name="_Toc134000097" localSheetId="10">'Note 1'!#REF!</definedName>
    <definedName name="_Toc134000098" localSheetId="10">'Note 1'!#REF!</definedName>
    <definedName name="_Toc290988855" localSheetId="10">'Note 1'!$E$25</definedName>
    <definedName name="_Toc513449001" localSheetId="12">'Notes 2 to 5'!$G$600</definedName>
    <definedName name="_Toc513449001" localSheetId="20">'Notes 9.14'!$G$59</definedName>
    <definedName name="EmplBnfts211a" localSheetId="10">'Note 1'!#REF!</definedName>
    <definedName name="OLE_LINK8" localSheetId="10">'Note 1'!#REF!</definedName>
    <definedName name="_xlnm.Print_Area" localSheetId="0">'1stPAGE'!$B$2:$I$58</definedName>
    <definedName name="_xlnm.Print_Area" localSheetId="2">Background!$B$1:$D$76</definedName>
    <definedName name="_xlnm.Print_Area" localSheetId="27">Certification!$C$1:$I$35</definedName>
    <definedName name="_xlnm.Print_Area" localSheetId="3">Checklist!$A$1:$E$19</definedName>
    <definedName name="_xlnm.Print_Area" localSheetId="4">Cover!$A$1:$J$31</definedName>
    <definedName name="_xlnm.Print_Area" localSheetId="28">'Management Certification'!$C$1:$I$38</definedName>
    <definedName name="_xlnm.Print_Area" localSheetId="1">'Merge Details_Printing instr'!$A$1:$E$40</definedName>
    <definedName name="_xlnm.Print_Area" localSheetId="10">'Note 1'!$C$1:$H$83</definedName>
    <definedName name="_xlnm.Print_Area" localSheetId="11">'Note 1.5'!$C$1:$K$99</definedName>
    <definedName name="_xlnm.Print_Area" localSheetId="21">'Note 10.1(i)'!$C$1:$Q$43</definedName>
    <definedName name="_xlnm.Print_Area" localSheetId="22">'Note 10.1(ii) &amp; 10.2'!$C$1:$R$94</definedName>
    <definedName name="_xlnm.Print_Area" localSheetId="23">'Note 10.3'!$C$1:$K$249</definedName>
    <definedName name="_xlnm.Print_Area" localSheetId="24">'Note 10.4'!$C$1:$O$49</definedName>
    <definedName name="_xlnm.Print_Area" localSheetId="25">'Note 10.5'!$C$1:$O$47</definedName>
    <definedName name="_xlnm.Print_Area" localSheetId="26">'Note 10.6'!$C$1:$Q$130</definedName>
    <definedName name="_xlnm.Print_Area" localSheetId="13">'Note 6'!$D$1:$K$115</definedName>
    <definedName name="_xlnm.Print_Area" localSheetId="14">'Note 6 (cont) '!$C$1:$M$185</definedName>
    <definedName name="_xlnm.Print_Area" localSheetId="15">'Note 6 to 8'!$C$1:$S$308</definedName>
    <definedName name="_xlnm.Print_Area" localSheetId="16">'Note 9'!$C$1:$J$248</definedName>
    <definedName name="_xlnm.Print_Area" localSheetId="17">'Note 9.11a &amp; b'!$C$1:$K$78</definedName>
    <definedName name="_xlnm.Print_Area" localSheetId="18">'Note 9.11c'!$C$1:$K$146</definedName>
    <definedName name="_xlnm.Print_Area" localSheetId="19">'Note 9.12 &amp; 9.13'!$C$1:$O$175</definedName>
    <definedName name="_xlnm.Print_Area" localSheetId="12">'Notes 2 to 5'!$C$1:$N$578</definedName>
    <definedName name="_xlnm.Print_Area" localSheetId="20">'Notes 9.14'!$C$1:$O$37</definedName>
    <definedName name="_xlnm.Print_Area" localSheetId="8">'Stat of Cash Flows'!$C$1:$G$56</definedName>
    <definedName name="_xlnm.Print_Area" localSheetId="6">'Stat'' of Comprehensive Income'!$C$1:$H$61</definedName>
    <definedName name="_xlnm.Print_Area" localSheetId="7">'Stat'' of Financial Position'!$C$1:$G$57</definedName>
    <definedName name="_xlnm.Print_Area" localSheetId="9">'Statement Changes in Equity'!$C$1:$L$47</definedName>
    <definedName name="_xlnm.Print_Area" localSheetId="29">'Submission Checklist'!$A$1:$E$3</definedName>
    <definedName name="_xlnm.Print_Area" localSheetId="5">'Table of Contents'!$C$1:$F$82</definedName>
    <definedName name="_xlnm.Print_Titles" localSheetId="10">'Note 1'!$1:$3</definedName>
    <definedName name="_xlnm.Print_Titles" localSheetId="11">'Note 1.5'!$1:$2</definedName>
    <definedName name="_xlnm.Print_Titles" localSheetId="21">'Note 10.1(i)'!$1:$2</definedName>
    <definedName name="_xlnm.Print_Titles" localSheetId="22">'Note 10.1(ii) &amp; 10.2'!$1:$2</definedName>
    <definedName name="_xlnm.Print_Titles" localSheetId="23">'Note 10.3'!$1:$3</definedName>
    <definedName name="_xlnm.Print_Titles" localSheetId="24">'Note 10.4'!$1:$3</definedName>
    <definedName name="_xlnm.Print_Titles" localSheetId="26">'Note 10.6'!$1:$3</definedName>
    <definedName name="_xlnm.Print_Titles" localSheetId="13">'Note 6'!$1:$3</definedName>
    <definedName name="_xlnm.Print_Titles" localSheetId="14">'Note 6 (cont) '!$1:$3</definedName>
    <definedName name="_xlnm.Print_Titles" localSheetId="15">'Note 6 to 8'!$1:$4</definedName>
    <definedName name="_xlnm.Print_Titles" localSheetId="16">'Note 9'!$1:$2</definedName>
    <definedName name="_xlnm.Print_Titles" localSheetId="17">'Note 9.11a &amp; b'!$1:$3</definedName>
    <definedName name="_xlnm.Print_Titles" localSheetId="18">'Note 9.11c'!$1:$3</definedName>
    <definedName name="_xlnm.Print_Titles" localSheetId="19">'Note 9.12 &amp; 9.13'!$1:$3</definedName>
    <definedName name="_xlnm.Print_Titles" localSheetId="12">'Notes 2 to 5'!$1:$5</definedName>
    <definedName name="_xlnm.Print_Titles" localSheetId="20">'Notes 9.14'!$1:$6</definedName>
    <definedName name="_xlnm.Print_Titles" localSheetId="6">'Stat'' of Comprehensive Income'!$1:$2</definedName>
    <definedName name="_xlnm.Print_Titles" localSheetId="5">'Table of Contents'!$1:$7</definedName>
    <definedName name="Z_7F222B88_8DE7_4209_9261_78C075D2F561_.wvu.Cols" localSheetId="13" hidden="1">'Note 6'!#REF!</definedName>
    <definedName name="Z_7F222B88_8DE7_4209_9261_78C075D2F561_.wvu.Cols" localSheetId="12" hidden="1">'Notes 2 to 5'!$E:$F</definedName>
    <definedName name="Z_7F222B88_8DE7_4209_9261_78C075D2F561_.wvu.Cols" localSheetId="20" hidden="1">'Notes 9.14'!$E:$F</definedName>
    <definedName name="Z_7F222B88_8DE7_4209_9261_78C075D2F561_.wvu.Cols" localSheetId="8" hidden="1">'Stat of Cash Flows'!#REF!</definedName>
    <definedName name="Z_7F222B88_8DE7_4209_9261_78C075D2F561_.wvu.FilterData" localSheetId="10" hidden="1">'Note 1'!#REF!</definedName>
    <definedName name="Z_7F222B88_8DE7_4209_9261_78C075D2F561_.wvu.FilterData" localSheetId="13" hidden="1">'Note 6'!$E$18:$K$115</definedName>
    <definedName name="Z_7F222B88_8DE7_4209_9261_78C075D2F561_.wvu.PrintArea" localSheetId="27" hidden="1">Certification!$A$1:$I$68</definedName>
    <definedName name="Z_7F222B88_8DE7_4209_9261_78C075D2F561_.wvu.PrintArea" localSheetId="4" hidden="1">Cover!$A$1:$J$18</definedName>
    <definedName name="Z_7F222B88_8DE7_4209_9261_78C075D2F561_.wvu.PrintArea" localSheetId="28" hidden="1">'Management Certification'!$A$1:$I$71</definedName>
    <definedName name="Z_7F222B88_8DE7_4209_9261_78C075D2F561_.wvu.PrintArea" localSheetId="1" hidden="1">'Merge Details_Printing instr'!$A$1:$E$26</definedName>
    <definedName name="Z_7F222B88_8DE7_4209_9261_78C075D2F561_.wvu.PrintArea" localSheetId="10" hidden="1">'Note 1'!$A$1:$H$85</definedName>
    <definedName name="Z_7F222B88_8DE7_4209_9261_78C075D2F561_.wvu.PrintArea" localSheetId="21" hidden="1">'Note 10.1(i)'!$A$1:$M$2</definedName>
    <definedName name="Z_7F222B88_8DE7_4209_9261_78C075D2F561_.wvu.PrintArea" localSheetId="22" hidden="1">'Note 10.1(ii) &amp; 10.2'!$A$1:$N$2</definedName>
    <definedName name="Z_7F222B88_8DE7_4209_9261_78C075D2F561_.wvu.PrintArea" localSheetId="26" hidden="1">'Note 10.6'!$A$1:$Q$138</definedName>
    <definedName name="Z_7F222B88_8DE7_4209_9261_78C075D2F561_.wvu.PrintArea" localSheetId="13" hidden="1">'Note 6'!$A$1:$L$114</definedName>
    <definedName name="Z_7F222B88_8DE7_4209_9261_78C075D2F561_.wvu.PrintArea" localSheetId="15" hidden="1">'Note 6 to 8'!$A$1:$S$311</definedName>
    <definedName name="Z_7F222B88_8DE7_4209_9261_78C075D2F561_.wvu.PrintArea" localSheetId="16" hidden="1">'Note 9'!$A$1:$J$256</definedName>
    <definedName name="Z_7F222B88_8DE7_4209_9261_78C075D2F561_.wvu.PrintArea" localSheetId="17" hidden="1">'Note 9.11a &amp; b'!$A$1:$K$78</definedName>
    <definedName name="Z_7F222B88_8DE7_4209_9261_78C075D2F561_.wvu.PrintArea" localSheetId="19" hidden="1">'Note 9.12 &amp; 9.13'!$A$1:$O$182</definedName>
    <definedName name="Z_7F222B88_8DE7_4209_9261_78C075D2F561_.wvu.PrintArea" localSheetId="12" hidden="1">'Notes 2 to 5'!$A$1:$M$592</definedName>
    <definedName name="Z_7F222B88_8DE7_4209_9261_78C075D2F561_.wvu.PrintArea" localSheetId="20" hidden="1">'Notes 9.14'!$A$1:$O$51</definedName>
    <definedName name="Z_7F222B88_8DE7_4209_9261_78C075D2F561_.wvu.PrintArea" localSheetId="8" hidden="1">'Stat of Cash Flows'!$A$1:$G$56</definedName>
    <definedName name="Z_7F222B88_8DE7_4209_9261_78C075D2F561_.wvu.PrintArea" localSheetId="6" hidden="1">'Stat'' of Comprehensive Income'!$A$1:$G$61</definedName>
    <definedName name="Z_7F222B88_8DE7_4209_9261_78C075D2F561_.wvu.PrintArea" localSheetId="7" hidden="1">'Stat'' of Financial Position'!$A$1:$G$57</definedName>
    <definedName name="Z_7F222B88_8DE7_4209_9261_78C075D2F561_.wvu.PrintArea" localSheetId="9" hidden="1">'Statement Changes in Equity'!$A$1:$L$47</definedName>
    <definedName name="Z_7F222B88_8DE7_4209_9261_78C075D2F561_.wvu.PrintArea" localSheetId="5" hidden="1">'Table of Contents'!$A$1:$F$79</definedName>
    <definedName name="Z_7F222B88_8DE7_4209_9261_78C075D2F561_.wvu.PrintTitles" localSheetId="10" hidden="1">'Note 1'!$1:$3</definedName>
    <definedName name="Z_7F222B88_8DE7_4209_9261_78C075D2F561_.wvu.PrintTitles" localSheetId="26" hidden="1">'Note 10.6'!$1:$3</definedName>
    <definedName name="Z_7F222B88_8DE7_4209_9261_78C075D2F561_.wvu.PrintTitles" localSheetId="13" hidden="1">'Note 6'!$1:$3</definedName>
    <definedName name="Z_7F222B88_8DE7_4209_9261_78C075D2F561_.wvu.PrintTitles" localSheetId="15" hidden="1">'Note 6 to 8'!$1:$2</definedName>
    <definedName name="Z_7F222B88_8DE7_4209_9261_78C075D2F561_.wvu.PrintTitles" localSheetId="17" hidden="1">'Note 9.11a &amp; b'!$2:$3</definedName>
    <definedName name="Z_7F222B88_8DE7_4209_9261_78C075D2F561_.wvu.PrintTitles" localSheetId="19" hidden="1">'Note 9.12 &amp; 9.13'!$1:$3</definedName>
    <definedName name="Z_7F222B88_8DE7_4209_9261_78C075D2F561_.wvu.PrintTitles" localSheetId="12" hidden="1">'Notes 2 to 5'!$1:$5</definedName>
    <definedName name="Z_7F222B88_8DE7_4209_9261_78C075D2F561_.wvu.PrintTitles" localSheetId="20" hidden="1">'Notes 9.14'!$1:$6</definedName>
    <definedName name="Z_7F222B88_8DE7_4209_9261_78C075D2F561_.wvu.PrintTitles" localSheetId="6" hidden="1">'Stat'' of Comprehensive Income'!$1:$2</definedName>
    <definedName name="Z_7F222B88_8DE7_4209_9261_78C075D2F561_.wvu.PrintTitles" localSheetId="5" hidden="1">'Table of Contents'!$1:$6</definedName>
    <definedName name="Z_7F222B88_8DE7_4209_9261_78C075D2F561_.wvu.Rows" localSheetId="10" hidden="1">'Note 1'!#REF!,'Note 1'!#REF!,'Note 1'!#REF!,'Note 1'!#REF!,'Note 1'!#REF!,'Note 1'!#REF!,'Note 1'!#REF!,'Note 1'!#REF!,'Note 1'!#REF!,'Note 1'!#REF!,'Note 1'!#REF!</definedName>
    <definedName name="Z_7F222B88_8DE7_4209_9261_78C075D2F561_.wvu.Rows" localSheetId="26" hidden="1">'Note 10.6'!#REF!</definedName>
    <definedName name="Z_7F222B88_8DE7_4209_9261_78C075D2F561_.wvu.Rows" localSheetId="15" hidden="1">'Note 6 to 8'!#REF!</definedName>
    <definedName name="Z_7F222B88_8DE7_4209_9261_78C075D2F561_.wvu.Rows" localSheetId="19" hidden="1">'Note 9.12 &amp; 9.13'!#REF!</definedName>
    <definedName name="Z_7F222B88_8DE7_4209_9261_78C075D2F561_.wvu.Rows" localSheetId="12" hidden="1">'Notes 2 to 5'!$248:$248,'Notes 2 to 5'!#REF!,'Notes 2 to 5'!$431:$431</definedName>
    <definedName name="Z_7F222B88_8DE7_4209_9261_78C075D2F561_.wvu.Rows" localSheetId="20" hidden="1">'Notes 9.14'!#REF!,'Notes 9.14'!#REF!,'Notes 9.14'!#REF!</definedName>
    <definedName name="Z_7F222B88_8DE7_4209_9261_78C075D2F561_.wvu.Rows" localSheetId="8" hidden="1">'Stat of Cash Flows'!#REF!</definedName>
    <definedName name="Z_7F222B88_8DE7_4209_9261_78C075D2F561_.wvu.Rows" localSheetId="6" hidden="1">'Stat'' of Comprehensive Income'!#REF!</definedName>
    <definedName name="Z_7F222B88_8DE7_4209_9261_78C075D2F561_.wvu.Rows" localSheetId="7" hidden="1">'Stat'' of Financial Position'!#REF!</definedName>
  </definedNames>
  <calcPr calcId="191029"/>
  <customWorkbookViews>
    <customWorkbookView name="david.adams - Personal View" guid="{7F222B88-8DE7-4209-9261-78C075D2F561}" mergeInterval="0" personalView="1" maximized="1" windowWidth="1020" windowHeight="570" tabRatio="93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69" l="1"/>
  <c r="S72" i="14"/>
  <c r="S65" i="14"/>
  <c r="G56" i="41"/>
  <c r="H56" i="41"/>
  <c r="I56" i="41"/>
  <c r="J56" i="41"/>
  <c r="K56" i="41"/>
  <c r="F56" i="41"/>
  <c r="G55" i="41"/>
  <c r="H55" i="41"/>
  <c r="I55" i="41"/>
  <c r="J55" i="41"/>
  <c r="K55" i="41"/>
  <c r="F55" i="41"/>
  <c r="K62" i="10" l="1"/>
  <c r="K97" i="10"/>
  <c r="M97" i="10"/>
  <c r="M183" i="10" l="1"/>
  <c r="K183" i="10"/>
  <c r="M51" i="10"/>
  <c r="K51" i="10"/>
  <c r="G46" i="6" l="1"/>
  <c r="F46" i="6"/>
  <c r="J42" i="64"/>
  <c r="J34" i="64"/>
  <c r="J31" i="64"/>
  <c r="J35" i="64" s="1"/>
  <c r="K144" i="35"/>
  <c r="J144" i="35"/>
  <c r="I144" i="35"/>
  <c r="H144" i="35"/>
  <c r="I137" i="35"/>
  <c r="K137" i="35" s="1"/>
  <c r="K138" i="35" s="1"/>
  <c r="H137" i="35"/>
  <c r="J137" i="35" s="1"/>
  <c r="J138" i="35" s="1"/>
  <c r="H138" i="35" l="1"/>
  <c r="I138" i="35"/>
  <c r="I204" i="53"/>
  <c r="H204" i="53"/>
  <c r="G204" i="53"/>
  <c r="J203" i="53"/>
  <c r="J202" i="53"/>
  <c r="I198" i="53"/>
  <c r="H198" i="53"/>
  <c r="G198" i="53"/>
  <c r="J197" i="53"/>
  <c r="J196" i="53"/>
  <c r="J195" i="53"/>
  <c r="J194" i="53"/>
  <c r="J193" i="53"/>
  <c r="J192" i="53"/>
  <c r="J191" i="53"/>
  <c r="J190" i="53"/>
  <c r="I185" i="53"/>
  <c r="H185" i="53"/>
  <c r="G185" i="53"/>
  <c r="J184" i="53"/>
  <c r="J183" i="53"/>
  <c r="J178" i="53"/>
  <c r="J177" i="53"/>
  <c r="J176" i="53"/>
  <c r="J175" i="53"/>
  <c r="J174" i="53"/>
  <c r="J173" i="53"/>
  <c r="J172" i="53"/>
  <c r="J171" i="53"/>
  <c r="H179" i="53"/>
  <c r="G179" i="53"/>
  <c r="J204" i="53" l="1"/>
  <c r="J198" i="53"/>
  <c r="J179" i="53"/>
  <c r="H127" i="69" l="1"/>
  <c r="C2" i="69"/>
  <c r="C1" i="69"/>
  <c r="M99" i="13"/>
  <c r="M98" i="13"/>
  <c r="M97" i="13"/>
  <c r="M92" i="13"/>
  <c r="M91" i="13"/>
  <c r="M90" i="13"/>
  <c r="M89" i="13"/>
  <c r="M88" i="13"/>
  <c r="M87" i="13"/>
  <c r="M86" i="13"/>
  <c r="M85" i="13"/>
  <c r="M80" i="13"/>
  <c r="M79" i="13"/>
  <c r="M78" i="13"/>
  <c r="M77" i="13"/>
  <c r="M76" i="13"/>
  <c r="M71" i="13"/>
  <c r="M70" i="13"/>
  <c r="M69" i="13"/>
  <c r="M68" i="13"/>
  <c r="M65" i="13"/>
  <c r="M64" i="13"/>
  <c r="M63" i="13"/>
  <c r="M72" i="13" l="1"/>
  <c r="M81" i="13"/>
  <c r="M66" i="13"/>
  <c r="M73" i="13" l="1"/>
  <c r="H46" i="5"/>
  <c r="G46" i="5"/>
  <c r="H47" i="5"/>
  <c r="G47" i="5"/>
  <c r="F47" i="5"/>
  <c r="D44" i="5"/>
  <c r="G54" i="5"/>
  <c r="H54" i="5"/>
  <c r="K18" i="64" l="1"/>
  <c r="G31" i="7"/>
  <c r="L409" i="10"/>
  <c r="M230" i="10" l="1"/>
  <c r="K230" i="10"/>
  <c r="O24" i="67" l="1"/>
  <c r="O30" i="67" s="1"/>
  <c r="M24" i="67"/>
  <c r="M30" i="67" s="1"/>
  <c r="M33" i="67" s="1"/>
  <c r="K24" i="67"/>
  <c r="K30" i="67" s="1"/>
  <c r="I24" i="67"/>
  <c r="I30" i="67" s="1"/>
  <c r="M130" i="67"/>
  <c r="K130" i="67"/>
  <c r="I130" i="67"/>
  <c r="M123" i="67"/>
  <c r="K123" i="67"/>
  <c r="I123" i="67"/>
  <c r="H119" i="67"/>
  <c r="F119" i="67"/>
  <c r="F126" i="67" s="1"/>
  <c r="O113" i="67"/>
  <c r="M113" i="67"/>
  <c r="K113" i="67"/>
  <c r="I113" i="67"/>
  <c r="O100" i="67"/>
  <c r="M100" i="67"/>
  <c r="K100" i="67"/>
  <c r="I100" i="67"/>
  <c r="O94" i="67"/>
  <c r="M94" i="67"/>
  <c r="K94" i="67"/>
  <c r="I94" i="67"/>
  <c r="O88" i="67"/>
  <c r="M88" i="67"/>
  <c r="K88" i="67"/>
  <c r="I88" i="67"/>
  <c r="O76" i="67"/>
  <c r="M76" i="67"/>
  <c r="K76" i="67"/>
  <c r="I76" i="67"/>
  <c r="O67" i="67"/>
  <c r="M67" i="67"/>
  <c r="K67" i="67"/>
  <c r="I67" i="67"/>
  <c r="O61" i="67"/>
  <c r="M61" i="67"/>
  <c r="I59" i="67"/>
  <c r="O50" i="67"/>
  <c r="M50" i="67"/>
  <c r="K50" i="67"/>
  <c r="I50" i="67"/>
  <c r="O41" i="67"/>
  <c r="M41" i="67"/>
  <c r="K41" i="67"/>
  <c r="I41" i="67"/>
  <c r="O31" i="67"/>
  <c r="M31" i="67"/>
  <c r="K31" i="67"/>
  <c r="I31" i="67"/>
  <c r="I4" i="67"/>
  <c r="K4" i="67" s="1"/>
  <c r="D4" i="67"/>
  <c r="D70" i="67" s="1"/>
  <c r="H2" i="67"/>
  <c r="C2" i="67"/>
  <c r="C1" i="67"/>
  <c r="O33" i="67" l="1"/>
  <c r="K33" i="67"/>
  <c r="I33" i="67"/>
  <c r="M4" i="67"/>
  <c r="K70" i="67"/>
  <c r="I70" i="67"/>
  <c r="F9" i="10"/>
  <c r="O18" i="64"/>
  <c r="O4" i="67" l="1"/>
  <c r="O70" i="67" s="1"/>
  <c r="M70" i="67"/>
  <c r="K13" i="7"/>
  <c r="K18" i="7"/>
  <c r="F35" i="59" l="1"/>
  <c r="G37" i="46" l="1"/>
  <c r="G36" i="46"/>
  <c r="N33" i="46"/>
  <c r="N53" i="46"/>
  <c r="K38" i="35"/>
  <c r="J38" i="35"/>
  <c r="G33" i="46" l="1"/>
  <c r="G53" i="46" s="1"/>
  <c r="S302" i="14"/>
  <c r="Q302" i="14"/>
  <c r="I35" i="7"/>
  <c r="G35" i="7"/>
  <c r="K11" i="64" l="1"/>
  <c r="E4" i="65" l="1"/>
  <c r="E58" i="65" s="1"/>
  <c r="H2" i="65"/>
  <c r="C2" i="65"/>
  <c r="C1" i="65"/>
  <c r="E37" i="64"/>
  <c r="E24" i="64"/>
  <c r="E5" i="64"/>
  <c r="E14" i="64"/>
  <c r="O42" i="64"/>
  <c r="N42" i="64"/>
  <c r="M42" i="64"/>
  <c r="K42" i="64"/>
  <c r="L41" i="64"/>
  <c r="P41" i="64" s="1"/>
  <c r="L40" i="64"/>
  <c r="P40" i="64" s="1"/>
  <c r="P39" i="64"/>
  <c r="P38" i="64"/>
  <c r="O34" i="64"/>
  <c r="N34" i="64"/>
  <c r="M34" i="64"/>
  <c r="L34" i="64"/>
  <c r="K34" i="64"/>
  <c r="P33" i="64"/>
  <c r="P34" i="64" s="1"/>
  <c r="O31" i="64"/>
  <c r="O35" i="64" s="1"/>
  <c r="N31" i="64"/>
  <c r="N35" i="64" s="1"/>
  <c r="M31" i="64"/>
  <c r="M35" i="64" s="1"/>
  <c r="K31" i="64"/>
  <c r="L30" i="64"/>
  <c r="P30" i="64" s="1"/>
  <c r="L29" i="64"/>
  <c r="P29" i="64" s="1"/>
  <c r="P28" i="64"/>
  <c r="P27" i="64"/>
  <c r="M19" i="64"/>
  <c r="I19" i="64"/>
  <c r="H19" i="64"/>
  <c r="K17" i="64"/>
  <c r="O17" i="64" s="1"/>
  <c r="K16" i="64"/>
  <c r="O16" i="64" s="1"/>
  <c r="K15" i="64"/>
  <c r="O15" i="64" s="1"/>
  <c r="M12" i="64"/>
  <c r="I12" i="64"/>
  <c r="H12" i="64"/>
  <c r="O11" i="64"/>
  <c r="K10" i="64"/>
  <c r="O10" i="64" s="1"/>
  <c r="K9" i="64"/>
  <c r="O9" i="64" s="1"/>
  <c r="K8" i="64"/>
  <c r="O8" i="64" s="1"/>
  <c r="G2" i="64"/>
  <c r="C2" i="64"/>
  <c r="C1" i="64"/>
  <c r="K35" i="64" l="1"/>
  <c r="K12" i="64"/>
  <c r="O12" i="64"/>
  <c r="P31" i="64"/>
  <c r="P35" i="64" s="1"/>
  <c r="O19" i="64"/>
  <c r="P42" i="64"/>
  <c r="L31" i="64"/>
  <c r="L35" i="64" s="1"/>
  <c r="L42" i="64"/>
  <c r="K19" i="64"/>
  <c r="K33" i="7"/>
  <c r="K22" i="63"/>
  <c r="J22" i="63"/>
  <c r="I22" i="63"/>
  <c r="O22" i="63"/>
  <c r="N22" i="63"/>
  <c r="M22" i="63"/>
  <c r="O16" i="63"/>
  <c r="N16" i="63"/>
  <c r="M16" i="63"/>
  <c r="K16" i="63"/>
  <c r="J16" i="63"/>
  <c r="I16" i="63"/>
  <c r="H2" i="63" l="1"/>
  <c r="C2" i="63"/>
  <c r="C1" i="63"/>
  <c r="C58" i="41" l="1"/>
  <c r="E117" i="46" l="1"/>
  <c r="E22" i="9"/>
  <c r="F83" i="14"/>
  <c r="I118" i="53"/>
  <c r="I218" i="53" s="1"/>
  <c r="J118" i="53"/>
  <c r="J218" i="53" s="1"/>
  <c r="J72" i="53"/>
  <c r="J117" i="53"/>
  <c r="J217" i="53" s="1"/>
  <c r="J71" i="53"/>
  <c r="I117" i="53"/>
  <c r="I217" i="53" s="1"/>
  <c r="I71" i="53"/>
  <c r="J104" i="53" l="1"/>
  <c r="E104" i="53"/>
  <c r="E95" i="53"/>
  <c r="E115" i="53"/>
  <c r="E106" i="53"/>
  <c r="E39" i="9" l="1"/>
  <c r="S279" i="14" l="1"/>
  <c r="Q279" i="14"/>
  <c r="J88" i="53" l="1"/>
  <c r="G26" i="8"/>
  <c r="M392" i="10"/>
  <c r="F26" i="8"/>
  <c r="Q113" i="14"/>
  <c r="M508" i="10" l="1"/>
  <c r="M503" i="10"/>
  <c r="I88" i="53"/>
  <c r="M447" i="10"/>
  <c r="A34" i="7"/>
  <c r="B34" i="7"/>
  <c r="K34" i="7"/>
  <c r="K443" i="10" l="1"/>
  <c r="G49" i="8"/>
  <c r="M108" i="10" l="1"/>
  <c r="M115" i="10"/>
  <c r="K110" i="10" s="1"/>
  <c r="K115" i="10" s="1"/>
  <c r="K103" i="10" l="1"/>
  <c r="K108" i="10" s="1"/>
  <c r="K117" i="10" s="1"/>
  <c r="K400" i="10" s="1"/>
  <c r="M117" i="10"/>
  <c r="M400" i="10" s="1"/>
  <c r="K11" i="10"/>
  <c r="M18" i="10"/>
  <c r="S263" i="14"/>
  <c r="G39" i="6" s="1"/>
  <c r="G23" i="8"/>
  <c r="R223" i="14"/>
  <c r="Q223" i="14"/>
  <c r="P223" i="14"/>
  <c r="O223" i="14"/>
  <c r="N223" i="14"/>
  <c r="M223" i="14"/>
  <c r="L223" i="14"/>
  <c r="K223" i="14"/>
  <c r="J223" i="14"/>
  <c r="I223" i="14"/>
  <c r="H223" i="14"/>
  <c r="G43" i="8" s="1"/>
  <c r="I114" i="53" s="1"/>
  <c r="S222" i="14"/>
  <c r="S221" i="14"/>
  <c r="F220" i="14"/>
  <c r="S223" i="14" l="1"/>
  <c r="S204" i="14" s="1"/>
  <c r="S206" i="14" s="1"/>
  <c r="S208" i="14"/>
  <c r="G38" i="6" s="1"/>
  <c r="F71" i="14"/>
  <c r="F64" i="14"/>
  <c r="F75" i="14" s="1"/>
  <c r="F70" i="14"/>
  <c r="F63" i="14"/>
  <c r="F23" i="8"/>
  <c r="G25" i="8"/>
  <c r="M248" i="10"/>
  <c r="S209" i="14" l="1"/>
  <c r="G45" i="6" s="1"/>
  <c r="M355" i="10" l="1"/>
  <c r="F79" i="4" l="1"/>
  <c r="F80" i="4" s="1"/>
  <c r="F124" i="35" l="1"/>
  <c r="F113" i="35"/>
  <c r="M22" i="35"/>
  <c r="K29" i="35"/>
  <c r="K22" i="35"/>
  <c r="M29" i="35"/>
  <c r="G113" i="35" l="1"/>
  <c r="H113" i="35" s="1"/>
  <c r="I113" i="35"/>
  <c r="J113" i="35" s="1"/>
  <c r="G124" i="35"/>
  <c r="H124" i="35" s="1"/>
  <c r="I124" i="35"/>
  <c r="J124" i="35" s="1"/>
  <c r="L29" i="35"/>
  <c r="L22" i="35"/>
  <c r="S73" i="14"/>
  <c r="Q68" i="14"/>
  <c r="Q71" i="14" s="1"/>
  <c r="O68" i="14"/>
  <c r="O71" i="14" s="1"/>
  <c r="M68" i="14"/>
  <c r="M71" i="14" s="1"/>
  <c r="K68" i="14"/>
  <c r="K71" i="14" s="1"/>
  <c r="S66" i="14"/>
  <c r="S67" i="14"/>
  <c r="K298" i="10" s="1"/>
  <c r="I76" i="53" s="1"/>
  <c r="Q166" i="14" l="1"/>
  <c r="O166" i="14"/>
  <c r="M403" i="10" s="1"/>
  <c r="M166" i="14"/>
  <c r="K166" i="14"/>
  <c r="M404" i="10" s="1"/>
  <c r="S165" i="14"/>
  <c r="G44" i="6" s="1"/>
  <c r="S164" i="14"/>
  <c r="Q152" i="14"/>
  <c r="O152" i="14"/>
  <c r="K403" i="10" s="1"/>
  <c r="M152" i="14"/>
  <c r="K152" i="14"/>
  <c r="K404" i="10" s="1"/>
  <c r="S151" i="14"/>
  <c r="F44" i="6" s="1"/>
  <c r="S150" i="14"/>
  <c r="F37" i="6" s="1"/>
  <c r="K508" i="10"/>
  <c r="F22" i="6" s="1"/>
  <c r="K503" i="10"/>
  <c r="F15" i="6" s="1"/>
  <c r="Q263" i="14"/>
  <c r="U263" i="14" s="1"/>
  <c r="S166" i="14" l="1"/>
  <c r="G37" i="6"/>
  <c r="S152" i="14"/>
  <c r="I102" i="53"/>
  <c r="I86" i="53" l="1"/>
  <c r="K249" i="10"/>
  <c r="K22" i="7" l="1"/>
  <c r="S109" i="14" l="1"/>
  <c r="Q109" i="14"/>
  <c r="S105" i="14"/>
  <c r="Q105" i="14"/>
  <c r="U105" i="14" l="1"/>
  <c r="I83" i="53"/>
  <c r="K355" i="10" l="1"/>
  <c r="K289" i="10" l="1"/>
  <c r="K288" i="10"/>
  <c r="K287" i="10"/>
  <c r="K286" i="10"/>
  <c r="K282" i="10"/>
  <c r="K281" i="10"/>
  <c r="K280" i="10"/>
  <c r="M289" i="10"/>
  <c r="M288" i="10"/>
  <c r="M287" i="10"/>
  <c r="M284" i="10"/>
  <c r="M282" i="10"/>
  <c r="M281" i="10"/>
  <c r="M280" i="10"/>
  <c r="M278" i="10"/>
  <c r="M276" i="10"/>
  <c r="M275" i="10"/>
  <c r="M273" i="10"/>
  <c r="K276" i="10"/>
  <c r="K275" i="10"/>
  <c r="K380" i="10" l="1"/>
  <c r="I115" i="53" l="1"/>
  <c r="F25" i="8"/>
  <c r="Q216" i="14"/>
  <c r="S216" i="14" s="1"/>
  <c r="S217" i="14"/>
  <c r="K394" i="10"/>
  <c r="G35" i="22" s="1"/>
  <c r="K392" i="10"/>
  <c r="F213" i="14"/>
  <c r="H218" i="14"/>
  <c r="I218" i="14"/>
  <c r="J218" i="14"/>
  <c r="K218" i="14"/>
  <c r="L218" i="14"/>
  <c r="M218" i="14"/>
  <c r="N218" i="14"/>
  <c r="O218" i="14"/>
  <c r="P218" i="14"/>
  <c r="R218" i="14"/>
  <c r="I95" i="53" l="1"/>
  <c r="M115" i="53"/>
  <c r="Q208" i="14"/>
  <c r="F38" i="6" s="1"/>
  <c r="F43" i="8"/>
  <c r="I103" i="53" s="1"/>
  <c r="Q218" i="14"/>
  <c r="S218" i="14"/>
  <c r="I104" i="53" l="1"/>
  <c r="Q209" i="14"/>
  <c r="F45" i="6" s="1"/>
  <c r="Q204" i="14"/>
  <c r="Q206" i="14" s="1"/>
  <c r="I72" i="53" l="1"/>
  <c r="Q75" i="14" l="1"/>
  <c r="O75" i="14"/>
  <c r="M75" i="14"/>
  <c r="K75" i="14"/>
  <c r="S64" i="14"/>
  <c r="S74" i="14"/>
  <c r="M298" i="10" s="1"/>
  <c r="J76" i="53" s="1"/>
  <c r="S71" i="14"/>
  <c r="B39" i="6"/>
  <c r="S68" i="14" l="1"/>
  <c r="G28" i="6" s="1"/>
  <c r="S75" i="14"/>
  <c r="F28" i="6" s="1"/>
  <c r="M104" i="53" l="1"/>
  <c r="E10" i="6" l="1"/>
  <c r="K40" i="35"/>
  <c r="K43" i="35"/>
  <c r="J40" i="35"/>
  <c r="R263" i="14" l="1"/>
  <c r="I87" i="53"/>
  <c r="F14" i="8"/>
  <c r="K393" i="10"/>
  <c r="K83" i="10"/>
  <c r="E35" i="6"/>
  <c r="J85" i="53"/>
  <c r="M393" i="10"/>
  <c r="K262" i="10"/>
  <c r="K263" i="10"/>
  <c r="M263" i="10"/>
  <c r="M429" i="10"/>
  <c r="M432" i="10" s="1"/>
  <c r="F11" i="8"/>
  <c r="F55" i="22" l="1"/>
  <c r="F39" i="6"/>
  <c r="F35" i="22"/>
  <c r="K35" i="22" s="1"/>
  <c r="M460" i="10"/>
  <c r="M409" i="10" s="1"/>
  <c r="K460" i="10"/>
  <c r="K409" i="10" s="1"/>
  <c r="K429" i="10"/>
  <c r="G48" i="13" l="1"/>
  <c r="G41" i="13"/>
  <c r="G29" i="13"/>
  <c r="F68" i="14"/>
  <c r="S63" i="14"/>
  <c r="Q63" i="14"/>
  <c r="O63" i="14"/>
  <c r="M63" i="14"/>
  <c r="K63" i="14"/>
  <c r="B38" i="6" l="1"/>
  <c r="B45" i="6" s="1"/>
  <c r="J81" i="13" l="1"/>
  <c r="I86" i="35" l="1"/>
  <c r="E4" i="59" l="1"/>
  <c r="D4" i="22"/>
  <c r="D5" i="53"/>
  <c r="Q3" i="14"/>
  <c r="S3" i="14"/>
  <c r="Q4" i="14"/>
  <c r="S4" i="14"/>
  <c r="I5" i="11"/>
  <c r="K5" i="11"/>
  <c r="K4" i="10"/>
  <c r="M4" i="10"/>
  <c r="E5" i="7"/>
  <c r="A5" i="8"/>
  <c r="F6" i="8"/>
  <c r="I28" i="8" s="1"/>
  <c r="G6" i="8"/>
  <c r="I27" i="8" s="1"/>
  <c r="D5" i="6"/>
  <c r="F6" i="6"/>
  <c r="G6" i="6"/>
  <c r="F405" i="10" l="1"/>
  <c r="D4" i="35"/>
  <c r="F20" i="7"/>
  <c r="F40" i="7" s="1"/>
  <c r="E55" i="5"/>
  <c r="E5" i="14"/>
  <c r="E24" i="5" s="1"/>
  <c r="D4" i="13"/>
  <c r="D56" i="13" s="1"/>
  <c r="H124" i="28"/>
  <c r="C2" i="28"/>
  <c r="C1" i="28"/>
  <c r="O41" i="39"/>
  <c r="O42" i="39" s="1"/>
  <c r="N41" i="39"/>
  <c r="N42" i="39" s="1"/>
  <c r="M41" i="39"/>
  <c r="M42" i="39" s="1"/>
  <c r="L41" i="39"/>
  <c r="L42" i="39" s="1"/>
  <c r="K41" i="39"/>
  <c r="K42" i="39" s="1"/>
  <c r="J41" i="39"/>
  <c r="J42" i="39" s="1"/>
  <c r="O37" i="39"/>
  <c r="N37" i="39"/>
  <c r="M37" i="39"/>
  <c r="L37" i="39"/>
  <c r="K37" i="39"/>
  <c r="J37" i="39"/>
  <c r="O32" i="39"/>
  <c r="N32" i="39"/>
  <c r="M32" i="39"/>
  <c r="L32" i="39"/>
  <c r="K32" i="39"/>
  <c r="J32" i="39"/>
  <c r="O25" i="39"/>
  <c r="N25" i="39"/>
  <c r="M25" i="39"/>
  <c r="L25" i="39"/>
  <c r="K25" i="39"/>
  <c r="J25" i="39"/>
  <c r="O14" i="39"/>
  <c r="N14" i="39"/>
  <c r="M14" i="39"/>
  <c r="L14" i="39"/>
  <c r="K14" i="39"/>
  <c r="J14" i="39"/>
  <c r="K8" i="39"/>
  <c r="M8" i="39" s="1"/>
  <c r="O8" i="39" s="1"/>
  <c r="J8" i="39"/>
  <c r="L8" i="39" s="1"/>
  <c r="N8" i="39" s="1"/>
  <c r="J2" i="39"/>
  <c r="C2" i="39"/>
  <c r="C1" i="39"/>
  <c r="O86" i="59"/>
  <c r="J2" i="59"/>
  <c r="C2" i="59"/>
  <c r="C1" i="59"/>
  <c r="D227" i="49"/>
  <c r="J172" i="49"/>
  <c r="I172" i="49"/>
  <c r="D171" i="49"/>
  <c r="J162" i="49"/>
  <c r="I162" i="49"/>
  <c r="J144" i="49"/>
  <c r="I144" i="49"/>
  <c r="D114" i="49"/>
  <c r="J81" i="49"/>
  <c r="I81" i="49"/>
  <c r="J71" i="49"/>
  <c r="I71" i="49"/>
  <c r="D59" i="49"/>
  <c r="J21" i="49"/>
  <c r="I21" i="49"/>
  <c r="J9" i="49"/>
  <c r="I9" i="49"/>
  <c r="H2" i="49"/>
  <c r="C2" i="49"/>
  <c r="C1" i="49"/>
  <c r="E170" i="46"/>
  <c r="N150" i="46"/>
  <c r="L150" i="46"/>
  <c r="N149" i="46"/>
  <c r="L149" i="46"/>
  <c r="D131" i="46"/>
  <c r="D104" i="46"/>
  <c r="J75" i="46"/>
  <c r="H75" i="46"/>
  <c r="J70" i="46"/>
  <c r="H70" i="46"/>
  <c r="J69" i="46"/>
  <c r="J74" i="46" s="1"/>
  <c r="H69" i="46"/>
  <c r="H74" i="46" s="1"/>
  <c r="D45" i="46"/>
  <c r="J63" i="46"/>
  <c r="H62" i="46"/>
  <c r="L62" i="46" s="1"/>
  <c r="L63" i="46" s="1"/>
  <c r="J59" i="46"/>
  <c r="H59" i="46"/>
  <c r="N58" i="46"/>
  <c r="N57" i="46"/>
  <c r="N56" i="46"/>
  <c r="N55" i="46"/>
  <c r="N54" i="46"/>
  <c r="N52" i="46"/>
  <c r="N51" i="46"/>
  <c r="N50" i="46"/>
  <c r="E47" i="46"/>
  <c r="J43" i="46"/>
  <c r="J39" i="46"/>
  <c r="H39" i="46"/>
  <c r="N38" i="46"/>
  <c r="G38" i="46"/>
  <c r="G58" i="46" s="1"/>
  <c r="N37" i="46"/>
  <c r="G57" i="46"/>
  <c r="N36" i="46"/>
  <c r="G56" i="46"/>
  <c r="N35" i="46"/>
  <c r="G35" i="46"/>
  <c r="G55" i="46" s="1"/>
  <c r="N34" i="46"/>
  <c r="G34" i="46"/>
  <c r="G54" i="46" s="1"/>
  <c r="N32" i="46"/>
  <c r="G32" i="46"/>
  <c r="G52" i="46" s="1"/>
  <c r="N31" i="46"/>
  <c r="N30" i="46"/>
  <c r="E27" i="46"/>
  <c r="E25" i="46"/>
  <c r="F2" i="46"/>
  <c r="C2" i="46"/>
  <c r="C1" i="46"/>
  <c r="D121" i="35"/>
  <c r="D110" i="35"/>
  <c r="D88" i="35"/>
  <c r="K86" i="35"/>
  <c r="J86" i="35"/>
  <c r="H86" i="35"/>
  <c r="G86" i="35"/>
  <c r="F86" i="35"/>
  <c r="E86" i="35"/>
  <c r="D80" i="35"/>
  <c r="K45" i="35"/>
  <c r="J45" i="35"/>
  <c r="J30" i="35"/>
  <c r="I30" i="35"/>
  <c r="H30" i="35"/>
  <c r="K28" i="35"/>
  <c r="K27" i="35"/>
  <c r="D26" i="35"/>
  <c r="J23" i="35"/>
  <c r="I23" i="35"/>
  <c r="H23" i="35"/>
  <c r="K21" i="35"/>
  <c r="K20" i="35"/>
  <c r="D19" i="35"/>
  <c r="D15" i="35"/>
  <c r="G2" i="35"/>
  <c r="C2" i="35"/>
  <c r="C1" i="35"/>
  <c r="K70" i="22"/>
  <c r="J70" i="22"/>
  <c r="I63" i="22"/>
  <c r="F63" i="22"/>
  <c r="H62" i="22"/>
  <c r="H63" i="22" s="1"/>
  <c r="G62" i="22"/>
  <c r="G63" i="22" s="1"/>
  <c r="I57" i="22"/>
  <c r="H57" i="22"/>
  <c r="G57" i="22"/>
  <c r="F57" i="22"/>
  <c r="K54" i="22"/>
  <c r="L54" i="22" s="1"/>
  <c r="K53" i="22"/>
  <c r="L53" i="22" s="1"/>
  <c r="K51" i="22"/>
  <c r="J51" i="22"/>
  <c r="I51" i="22"/>
  <c r="H51" i="22"/>
  <c r="G51" i="22"/>
  <c r="F51" i="22"/>
  <c r="D49" i="22"/>
  <c r="I45" i="22"/>
  <c r="F45" i="22"/>
  <c r="G44" i="22"/>
  <c r="G45" i="22" s="1"/>
  <c r="I39" i="22"/>
  <c r="H39" i="22"/>
  <c r="G39" i="22"/>
  <c r="K36" i="22"/>
  <c r="L36" i="22" s="1"/>
  <c r="K33" i="22"/>
  <c r="J33" i="22"/>
  <c r="I33" i="22"/>
  <c r="H33" i="22"/>
  <c r="G33" i="22"/>
  <c r="F33" i="22"/>
  <c r="D31" i="22"/>
  <c r="F2" i="22"/>
  <c r="C2" i="22"/>
  <c r="C1" i="22"/>
  <c r="J185" i="53"/>
  <c r="I179" i="53"/>
  <c r="J131" i="53"/>
  <c r="I131" i="53"/>
  <c r="J127" i="53"/>
  <c r="I127" i="53"/>
  <c r="E120" i="53"/>
  <c r="D119" i="53"/>
  <c r="D124" i="53" s="1"/>
  <c r="H114" i="53"/>
  <c r="H113" i="53"/>
  <c r="J115" i="53"/>
  <c r="H103" i="53"/>
  <c r="H102" i="53"/>
  <c r="J79" i="53"/>
  <c r="I79" i="53"/>
  <c r="D72" i="53"/>
  <c r="E27" i="8" s="1"/>
  <c r="J67" i="53"/>
  <c r="M88" i="53" s="1"/>
  <c r="L114" i="53" s="1"/>
  <c r="I67" i="53"/>
  <c r="L88" i="53" s="1"/>
  <c r="L103" i="53" s="1"/>
  <c r="J66" i="53"/>
  <c r="I66" i="53"/>
  <c r="L87" i="53" s="1"/>
  <c r="L102" i="53" s="1"/>
  <c r="I63" i="53"/>
  <c r="H63" i="53"/>
  <c r="G63" i="53"/>
  <c r="J31" i="7" s="1"/>
  <c r="J35" i="7" s="1"/>
  <c r="J62" i="53"/>
  <c r="J63" i="53" s="1"/>
  <c r="E62" i="53"/>
  <c r="I60" i="53"/>
  <c r="H60" i="53"/>
  <c r="G60" i="53"/>
  <c r="J59" i="53"/>
  <c r="J60" i="53" s="1"/>
  <c r="E59" i="53"/>
  <c r="I52" i="53"/>
  <c r="H51" i="53"/>
  <c r="H52" i="53" s="1"/>
  <c r="G51" i="53"/>
  <c r="G52" i="53" s="1"/>
  <c r="E50" i="53"/>
  <c r="I48" i="53"/>
  <c r="E46" i="53"/>
  <c r="J39" i="53"/>
  <c r="I38" i="53"/>
  <c r="H38" i="53"/>
  <c r="J37" i="53"/>
  <c r="G20" i="53" s="1"/>
  <c r="J20" i="53" s="1"/>
  <c r="F37" i="53"/>
  <c r="J36" i="53"/>
  <c r="J35" i="53"/>
  <c r="G18" i="53" s="1"/>
  <c r="J18" i="53" s="1"/>
  <c r="G34" i="53"/>
  <c r="J34" i="53" s="1"/>
  <c r="G17" i="53" s="1"/>
  <c r="J17" i="53" s="1"/>
  <c r="G33" i="53"/>
  <c r="J33" i="53" s="1"/>
  <c r="G16" i="53" s="1"/>
  <c r="J16" i="53" s="1"/>
  <c r="G32" i="53"/>
  <c r="J32" i="53" s="1"/>
  <c r="G15" i="53" s="1"/>
  <c r="J15" i="53" s="1"/>
  <c r="I30" i="53"/>
  <c r="H30" i="53"/>
  <c r="G30" i="53"/>
  <c r="J29" i="53"/>
  <c r="G12" i="53" s="1"/>
  <c r="J12" i="53" s="1"/>
  <c r="J28" i="53"/>
  <c r="G11" i="53" s="1"/>
  <c r="J11" i="53" s="1"/>
  <c r="J27" i="53"/>
  <c r="G10" i="53" s="1"/>
  <c r="J10" i="53" s="1"/>
  <c r="J26" i="53"/>
  <c r="G9" i="53" s="1"/>
  <c r="J9" i="53" s="1"/>
  <c r="J25" i="53"/>
  <c r="G8" i="53" s="1"/>
  <c r="J8" i="53" s="1"/>
  <c r="E24" i="53"/>
  <c r="I21" i="53"/>
  <c r="H21" i="53"/>
  <c r="J19" i="53"/>
  <c r="I13" i="53"/>
  <c r="H13" i="53"/>
  <c r="E7" i="53"/>
  <c r="G2" i="53"/>
  <c r="C2" i="53"/>
  <c r="C1" i="53"/>
  <c r="F126" i="35"/>
  <c r="F115" i="35"/>
  <c r="S291" i="14"/>
  <c r="Q290" i="14"/>
  <c r="H44" i="22" s="1"/>
  <c r="S287" i="14"/>
  <c r="S293" i="14" s="1"/>
  <c r="K62" i="22" s="1"/>
  <c r="Q287" i="14"/>
  <c r="F40" i="6" s="1"/>
  <c r="S201" i="14"/>
  <c r="Q201" i="14"/>
  <c r="Q162" i="14"/>
  <c r="O162" i="14"/>
  <c r="S161" i="14"/>
  <c r="S160" i="14"/>
  <c r="M159" i="14"/>
  <c r="K159" i="14"/>
  <c r="K162" i="14" s="1"/>
  <c r="S158" i="14"/>
  <c r="F157" i="14"/>
  <c r="Q148" i="14"/>
  <c r="O148" i="14"/>
  <c r="S147" i="14"/>
  <c r="M146" i="14"/>
  <c r="K146" i="14"/>
  <c r="M145" i="14"/>
  <c r="K145" i="14"/>
  <c r="S144" i="14"/>
  <c r="F143" i="14"/>
  <c r="S134" i="14"/>
  <c r="Q133" i="14"/>
  <c r="Q134" i="14" s="1"/>
  <c r="K399" i="10" s="1"/>
  <c r="K401" i="10" s="1"/>
  <c r="E127" i="14"/>
  <c r="S113" i="14"/>
  <c r="S117" i="14" s="1"/>
  <c r="Q117" i="14"/>
  <c r="F47" i="14"/>
  <c r="F46" i="14"/>
  <c r="R45" i="14"/>
  <c r="S42" i="14"/>
  <c r="S44" i="14" s="1"/>
  <c r="Q42" i="14"/>
  <c r="Q44" i="14" s="1"/>
  <c r="O42" i="14"/>
  <c r="O44" i="14" s="1"/>
  <c r="M42" i="14"/>
  <c r="M44" i="14" s="1"/>
  <c r="K42" i="14"/>
  <c r="K44" i="14" s="1"/>
  <c r="F37" i="14"/>
  <c r="F44" i="14" s="1"/>
  <c r="S34" i="14"/>
  <c r="S37" i="14" s="1"/>
  <c r="Q34" i="14"/>
  <c r="O34" i="14"/>
  <c r="M34" i="14"/>
  <c r="M37" i="14" s="1"/>
  <c r="K34" i="14"/>
  <c r="K37" i="14" s="1"/>
  <c r="F34" i="14"/>
  <c r="F42" i="14" s="1"/>
  <c r="F31" i="14"/>
  <c r="F40" i="14" s="1"/>
  <c r="S29" i="14"/>
  <c r="Q29" i="14"/>
  <c r="O29" i="14"/>
  <c r="M29" i="14"/>
  <c r="K29" i="14"/>
  <c r="S24" i="14"/>
  <c r="G27" i="6" s="1"/>
  <c r="Q24" i="14"/>
  <c r="F27" i="6" s="1"/>
  <c r="S10" i="14"/>
  <c r="G26" i="6" s="1"/>
  <c r="Q10" i="14"/>
  <c r="F26" i="6" s="1"/>
  <c r="G2" i="14"/>
  <c r="C2" i="14"/>
  <c r="C1" i="14"/>
  <c r="C154" i="13"/>
  <c r="J119" i="13"/>
  <c r="C108" i="13"/>
  <c r="L100" i="13"/>
  <c r="K100" i="13"/>
  <c r="J100" i="13"/>
  <c r="I100" i="13"/>
  <c r="H100" i="13"/>
  <c r="G100" i="13"/>
  <c r="F100" i="13"/>
  <c r="L93" i="13"/>
  <c r="K93" i="13"/>
  <c r="J93" i="13"/>
  <c r="H93" i="13"/>
  <c r="F93" i="13"/>
  <c r="I84" i="13"/>
  <c r="G84" i="13"/>
  <c r="L81" i="13"/>
  <c r="K81" i="13"/>
  <c r="I81" i="13"/>
  <c r="H81" i="13"/>
  <c r="G81" i="13"/>
  <c r="F81" i="13"/>
  <c r="L72" i="13"/>
  <c r="K72" i="13"/>
  <c r="J72" i="13"/>
  <c r="I72" i="13"/>
  <c r="H72" i="13"/>
  <c r="G72" i="13"/>
  <c r="F72" i="13"/>
  <c r="L66" i="13"/>
  <c r="K66" i="13"/>
  <c r="J66" i="13"/>
  <c r="I66" i="13"/>
  <c r="H66" i="13"/>
  <c r="G66" i="13"/>
  <c r="F66" i="13"/>
  <c r="H60" i="13"/>
  <c r="E59" i="13"/>
  <c r="K48" i="13"/>
  <c r="J48" i="13"/>
  <c r="I48" i="13"/>
  <c r="H48" i="13"/>
  <c r="F48" i="13"/>
  <c r="M47" i="13"/>
  <c r="L46" i="13"/>
  <c r="M45" i="13"/>
  <c r="L41" i="13"/>
  <c r="K41" i="13"/>
  <c r="J41" i="13"/>
  <c r="I41" i="13"/>
  <c r="H41" i="13"/>
  <c r="F41" i="13"/>
  <c r="M40" i="13"/>
  <c r="M39" i="13"/>
  <c r="M38" i="13"/>
  <c r="M37" i="13"/>
  <c r="M36" i="13"/>
  <c r="M35" i="13"/>
  <c r="M34" i="13"/>
  <c r="M33" i="13"/>
  <c r="M32" i="13"/>
  <c r="L29" i="13"/>
  <c r="K29" i="13"/>
  <c r="J29" i="13"/>
  <c r="H29" i="13"/>
  <c r="F29" i="13"/>
  <c r="I28" i="13"/>
  <c r="K284" i="10" s="1"/>
  <c r="M27" i="13"/>
  <c r="M26" i="13"/>
  <c r="M25" i="13"/>
  <c r="M24" i="13"/>
  <c r="L20" i="13"/>
  <c r="K20" i="13"/>
  <c r="J20" i="13"/>
  <c r="H20" i="13"/>
  <c r="G20" i="13"/>
  <c r="F20" i="13"/>
  <c r="I19" i="13"/>
  <c r="M18" i="13"/>
  <c r="M17" i="13"/>
  <c r="M16" i="13"/>
  <c r="L14" i="13"/>
  <c r="K14" i="13"/>
  <c r="J14" i="13"/>
  <c r="I14" i="13"/>
  <c r="K273" i="10" s="1"/>
  <c r="H14" i="13"/>
  <c r="G13" i="13"/>
  <c r="G14" i="13" s="1"/>
  <c r="F13" i="13"/>
  <c r="M12" i="13"/>
  <c r="M11" i="13"/>
  <c r="H8" i="13"/>
  <c r="E7" i="13"/>
  <c r="F2" i="13"/>
  <c r="C2" i="13"/>
  <c r="C1" i="13"/>
  <c r="K112" i="11"/>
  <c r="I112" i="11"/>
  <c r="K104" i="11"/>
  <c r="I104" i="11"/>
  <c r="K100" i="11"/>
  <c r="I100" i="11"/>
  <c r="K96" i="11"/>
  <c r="I96" i="11"/>
  <c r="K91" i="11"/>
  <c r="I91" i="11"/>
  <c r="K87" i="11"/>
  <c r="I87" i="11"/>
  <c r="K83" i="11"/>
  <c r="I82" i="11"/>
  <c r="I81" i="11"/>
  <c r="K74" i="11"/>
  <c r="I74" i="11"/>
  <c r="K70" i="11"/>
  <c r="I70" i="11"/>
  <c r="K65" i="11"/>
  <c r="I65" i="11"/>
  <c r="F65" i="11"/>
  <c r="E65" i="11"/>
  <c r="K63" i="11"/>
  <c r="I63" i="11"/>
  <c r="K59" i="11"/>
  <c r="I59" i="11"/>
  <c r="K54" i="11"/>
  <c r="K9" i="11" s="1"/>
  <c r="I54" i="11"/>
  <c r="K53" i="11"/>
  <c r="I53" i="11"/>
  <c r="I55" i="11" s="1"/>
  <c r="I76" i="11" s="1"/>
  <c r="K45" i="11"/>
  <c r="I45" i="11"/>
  <c r="K41" i="11"/>
  <c r="I41" i="11"/>
  <c r="K37" i="11"/>
  <c r="I37" i="11"/>
  <c r="I33" i="11"/>
  <c r="K31" i="11"/>
  <c r="K25" i="11"/>
  <c r="K27" i="11" s="1"/>
  <c r="I25" i="11"/>
  <c r="K23" i="11"/>
  <c r="I23" i="11"/>
  <c r="K20" i="11"/>
  <c r="I19" i="11"/>
  <c r="I20" i="11" s="1"/>
  <c r="K13" i="11"/>
  <c r="I13" i="11"/>
  <c r="I9" i="11"/>
  <c r="H2" i="11"/>
  <c r="D2" i="11"/>
  <c r="D1" i="11"/>
  <c r="G29" i="6"/>
  <c r="F29" i="6"/>
  <c r="G16" i="6"/>
  <c r="F16" i="6"/>
  <c r="M488" i="10"/>
  <c r="G14" i="6" s="1"/>
  <c r="K488" i="10"/>
  <c r="M477" i="10"/>
  <c r="G13" i="6" s="1"/>
  <c r="K477" i="10"/>
  <c r="F13" i="6" s="1"/>
  <c r="M438" i="10"/>
  <c r="G20" i="6" s="1"/>
  <c r="K438" i="10"/>
  <c r="F20" i="6" s="1"/>
  <c r="K431" i="10"/>
  <c r="E425" i="10"/>
  <c r="M395" i="10"/>
  <c r="K395" i="10"/>
  <c r="M567" i="10"/>
  <c r="N151" i="46" s="1"/>
  <c r="E566" i="10"/>
  <c r="E54" i="5" s="1"/>
  <c r="M555" i="10"/>
  <c r="K555" i="10"/>
  <c r="M550" i="10"/>
  <c r="M524" i="10" s="1"/>
  <c r="M526" i="10" s="1"/>
  <c r="G23" i="6" s="1"/>
  <c r="M542" i="10"/>
  <c r="M543" i="10" s="1"/>
  <c r="K541" i="10" s="1"/>
  <c r="K542" i="10"/>
  <c r="M538" i="10"/>
  <c r="K534" i="10" s="1"/>
  <c r="K538" i="10" s="1"/>
  <c r="M382" i="10"/>
  <c r="H34" i="5" s="1"/>
  <c r="K382" i="10"/>
  <c r="G34" i="5" s="1"/>
  <c r="M357" i="10"/>
  <c r="H33" i="5" s="1"/>
  <c r="K357" i="10"/>
  <c r="G33" i="5" s="1"/>
  <c r="M293" i="10"/>
  <c r="K293" i="10"/>
  <c r="M292" i="10"/>
  <c r="K292" i="10"/>
  <c r="M291" i="10"/>
  <c r="K291" i="10"/>
  <c r="M290" i="10"/>
  <c r="K290" i="10"/>
  <c r="M283" i="10"/>
  <c r="K283" i="10"/>
  <c r="M277" i="10"/>
  <c r="K277" i="10"/>
  <c r="M264" i="10"/>
  <c r="H31" i="5" s="1"/>
  <c r="K264" i="10"/>
  <c r="G31" i="5" s="1"/>
  <c r="M253" i="10"/>
  <c r="H30" i="5" s="1"/>
  <c r="K253" i="10"/>
  <c r="G30" i="5" s="1"/>
  <c r="E245" i="10"/>
  <c r="E261" i="10" s="1"/>
  <c r="E271" i="10" s="1"/>
  <c r="M235" i="10"/>
  <c r="M237" i="10" s="1"/>
  <c r="H29" i="5" s="1"/>
  <c r="K235" i="10"/>
  <c r="K237" i="10" s="1"/>
  <c r="G29" i="5" s="1"/>
  <c r="M220" i="10"/>
  <c r="H17" i="5" s="1"/>
  <c r="L220" i="10"/>
  <c r="K220" i="10"/>
  <c r="F20" i="8" s="1"/>
  <c r="M209" i="10"/>
  <c r="H22" i="5" s="1"/>
  <c r="K209" i="10"/>
  <c r="I77" i="53" s="1"/>
  <c r="M178" i="10"/>
  <c r="H16" i="5" s="1"/>
  <c r="K178" i="10"/>
  <c r="G16" i="5" s="1"/>
  <c r="M159" i="10"/>
  <c r="M162" i="10" s="1"/>
  <c r="H15" i="5" s="1"/>
  <c r="K159" i="10"/>
  <c r="K162" i="10" s="1"/>
  <c r="G15" i="5" s="1"/>
  <c r="M150" i="10"/>
  <c r="H21" i="5" s="1"/>
  <c r="J80" i="53" s="1"/>
  <c r="K150" i="10"/>
  <c r="G21" i="5" s="1"/>
  <c r="I80" i="53" s="1"/>
  <c r="M141" i="10"/>
  <c r="G15" i="8" s="1"/>
  <c r="K141" i="10"/>
  <c r="M90" i="10"/>
  <c r="K90" i="10"/>
  <c r="M80" i="10"/>
  <c r="H13" i="5" s="1"/>
  <c r="K80" i="10"/>
  <c r="G13" i="5" s="1"/>
  <c r="M65" i="10"/>
  <c r="K65" i="10"/>
  <c r="M46" i="10"/>
  <c r="H12" i="5" s="1"/>
  <c r="K46" i="10"/>
  <c r="G12" i="5" s="1"/>
  <c r="E36" i="10"/>
  <c r="E59" i="10" s="1"/>
  <c r="M28" i="10"/>
  <c r="M31" i="10" s="1"/>
  <c r="H11" i="5" s="1"/>
  <c r="K28" i="10"/>
  <c r="K31" i="10" s="1"/>
  <c r="G11" i="5" s="1"/>
  <c r="M19" i="10"/>
  <c r="K18" i="10"/>
  <c r="H2" i="10"/>
  <c r="C2" i="10"/>
  <c r="C1" i="10"/>
  <c r="H106" i="41"/>
  <c r="I65" i="41"/>
  <c r="H65" i="41"/>
  <c r="I61" i="41"/>
  <c r="H61" i="41"/>
  <c r="D12" i="41"/>
  <c r="D16" i="41" s="1"/>
  <c r="D20" i="41" s="1"/>
  <c r="D24" i="41" s="1"/>
  <c r="D28" i="41" s="1"/>
  <c r="D32" i="41" s="1"/>
  <c r="D36" i="41" s="1"/>
  <c r="D11" i="41"/>
  <c r="E2" i="41"/>
  <c r="C2" i="41"/>
  <c r="C1" i="41"/>
  <c r="H140" i="9"/>
  <c r="F2" i="9"/>
  <c r="C2" i="9"/>
  <c r="C1" i="9"/>
  <c r="I110" i="7"/>
  <c r="I49" i="7"/>
  <c r="E48" i="7"/>
  <c r="K44" i="7"/>
  <c r="K42" i="7"/>
  <c r="K41" i="7"/>
  <c r="K40" i="7"/>
  <c r="K39" i="7"/>
  <c r="A39" i="7"/>
  <c r="K38" i="7"/>
  <c r="B38" i="7"/>
  <c r="A38" i="7"/>
  <c r="B37" i="7"/>
  <c r="A37" i="7"/>
  <c r="B36" i="7"/>
  <c r="A36" i="7"/>
  <c r="I43" i="7"/>
  <c r="H31" i="7"/>
  <c r="K29" i="7"/>
  <c r="J29" i="7"/>
  <c r="I29" i="7"/>
  <c r="H29" i="7"/>
  <c r="G29" i="7"/>
  <c r="E29" i="7"/>
  <c r="K28" i="7"/>
  <c r="J28" i="7"/>
  <c r="I28" i="7"/>
  <c r="H28" i="7"/>
  <c r="G28" i="7"/>
  <c r="K27" i="7"/>
  <c r="J27" i="7"/>
  <c r="I27" i="7"/>
  <c r="H27" i="7"/>
  <c r="G27" i="7"/>
  <c r="K24" i="7"/>
  <c r="K21" i="7"/>
  <c r="B20" i="7"/>
  <c r="B21" i="7" s="1"/>
  <c r="B22" i="7" s="1"/>
  <c r="K14" i="7"/>
  <c r="K9" i="7"/>
  <c r="J9" i="7"/>
  <c r="I9" i="7"/>
  <c r="H9" i="7"/>
  <c r="G9" i="7"/>
  <c r="E9" i="7"/>
  <c r="K8" i="7"/>
  <c r="J8" i="7"/>
  <c r="I8" i="7"/>
  <c r="H8" i="7"/>
  <c r="G8" i="7"/>
  <c r="C2" i="7"/>
  <c r="C1" i="7"/>
  <c r="E52" i="8"/>
  <c r="H52" i="8" s="1"/>
  <c r="G46" i="8"/>
  <c r="F46" i="8"/>
  <c r="E46" i="8"/>
  <c r="H46" i="8" s="1"/>
  <c r="G34" i="8"/>
  <c r="F34" i="8"/>
  <c r="G33" i="8"/>
  <c r="F33" i="8"/>
  <c r="G9" i="8"/>
  <c r="F9" i="8"/>
  <c r="C2" i="8"/>
  <c r="C1" i="8"/>
  <c r="G115" i="6"/>
  <c r="E54" i="6"/>
  <c r="B54" i="6"/>
  <c r="B50" i="6"/>
  <c r="G47" i="6"/>
  <c r="B44" i="6"/>
  <c r="E40" i="6"/>
  <c r="E47" i="6" s="1"/>
  <c r="B40" i="6"/>
  <c r="B47" i="6" s="1"/>
  <c r="B29" i="6"/>
  <c r="E25" i="6"/>
  <c r="E23" i="6"/>
  <c r="G21" i="6"/>
  <c r="F21" i="6"/>
  <c r="B21" i="6"/>
  <c r="B20" i="6"/>
  <c r="B17" i="6"/>
  <c r="B30" i="6" s="1"/>
  <c r="G12" i="6"/>
  <c r="F12" i="6"/>
  <c r="C2" i="6"/>
  <c r="C1" i="6"/>
  <c r="G112" i="5"/>
  <c r="F58" i="5"/>
  <c r="H55" i="5"/>
  <c r="F36" i="5"/>
  <c r="B36" i="5"/>
  <c r="E29" i="5"/>
  <c r="F25" i="5"/>
  <c r="H24" i="5"/>
  <c r="G24" i="5"/>
  <c r="E23" i="5"/>
  <c r="F18" i="5"/>
  <c r="E11" i="5"/>
  <c r="B11" i="5"/>
  <c r="B12" i="5" s="1"/>
  <c r="E10" i="5"/>
  <c r="H8" i="5"/>
  <c r="G8" i="5"/>
  <c r="F8" i="5"/>
  <c r="H7" i="5"/>
  <c r="G7" i="5"/>
  <c r="D5" i="5"/>
  <c r="C2" i="5"/>
  <c r="C1" i="5"/>
  <c r="A1" i="4"/>
  <c r="A16" i="3"/>
  <c r="A13" i="3"/>
  <c r="D34" i="35" l="1"/>
  <c r="D75" i="35" s="1"/>
  <c r="H20" i="5"/>
  <c r="M92" i="10"/>
  <c r="D47" i="41"/>
  <c r="D40" i="41"/>
  <c r="D44" i="41" s="1"/>
  <c r="D48" i="41" s="1"/>
  <c r="D52" i="41" s="1"/>
  <c r="D56" i="41" s="1"/>
  <c r="M84" i="13"/>
  <c r="M93" i="13" s="1"/>
  <c r="G20" i="5"/>
  <c r="K92" i="10"/>
  <c r="I47" i="22"/>
  <c r="F65" i="22"/>
  <c r="I65" i="22"/>
  <c r="G65" i="22"/>
  <c r="M100" i="13"/>
  <c r="F7" i="5"/>
  <c r="F46" i="5"/>
  <c r="H65" i="22"/>
  <c r="K33" i="11"/>
  <c r="K59" i="67"/>
  <c r="I58" i="67"/>
  <c r="I61" i="67" s="1"/>
  <c r="K106" i="11"/>
  <c r="H35" i="7"/>
  <c r="H43" i="7" s="1"/>
  <c r="I115" i="35"/>
  <c r="J115" i="35" s="1"/>
  <c r="G115" i="35"/>
  <c r="H115" i="35" s="1"/>
  <c r="G126" i="35"/>
  <c r="H126" i="35" s="1"/>
  <c r="I126" i="35"/>
  <c r="J126" i="35" s="1"/>
  <c r="K61" i="22"/>
  <c r="J61" i="22" s="1"/>
  <c r="L61" i="22" s="1"/>
  <c r="M399" i="10"/>
  <c r="M401" i="10" s="1"/>
  <c r="G14" i="5"/>
  <c r="F15" i="8"/>
  <c r="F27" i="8" s="1"/>
  <c r="K49" i="7"/>
  <c r="M405" i="10"/>
  <c r="K52" i="7"/>
  <c r="K405" i="10"/>
  <c r="K407" i="10" s="1"/>
  <c r="F400" i="10"/>
  <c r="E123" i="10"/>
  <c r="H10" i="5"/>
  <c r="L35" i="22"/>
  <c r="M20" i="35"/>
  <c r="L20" i="35" s="1"/>
  <c r="F112" i="35"/>
  <c r="G10" i="6"/>
  <c r="G57" i="8" s="1"/>
  <c r="M27" i="35"/>
  <c r="L27" i="35" s="1"/>
  <c r="F123" i="35"/>
  <c r="G123" i="35" s="1"/>
  <c r="K30" i="35"/>
  <c r="I20" i="13"/>
  <c r="K278" i="10"/>
  <c r="I93" i="13"/>
  <c r="M286" i="10"/>
  <c r="M299" i="10" s="1"/>
  <c r="H32" i="5" s="1"/>
  <c r="J75" i="53" s="1"/>
  <c r="F269" i="10"/>
  <c r="I46" i="11"/>
  <c r="I12" i="11"/>
  <c r="I14" i="11" s="1"/>
  <c r="E142" i="14"/>
  <c r="F399" i="10"/>
  <c r="G47" i="22"/>
  <c r="H115" i="53"/>
  <c r="K23" i="35"/>
  <c r="G21" i="13"/>
  <c r="G49" i="13" s="1"/>
  <c r="F30" i="8" s="1"/>
  <c r="F39" i="8" s="1"/>
  <c r="E32" i="5"/>
  <c r="I22" i="53"/>
  <c r="H22" i="53"/>
  <c r="H20" i="7" s="1"/>
  <c r="K20" i="7" s="1"/>
  <c r="G20" i="8"/>
  <c r="G27" i="8" s="1"/>
  <c r="K19" i="10"/>
  <c r="G10" i="5" s="1"/>
  <c r="J45" i="7"/>
  <c r="J11" i="7" s="1"/>
  <c r="J15" i="7" s="1"/>
  <c r="J23" i="7" s="1"/>
  <c r="J25" i="7" s="1"/>
  <c r="J43" i="7"/>
  <c r="E26" i="6"/>
  <c r="E165" i="46"/>
  <c r="E19" i="14"/>
  <c r="G30" i="46"/>
  <c r="G50" i="46" s="1"/>
  <c r="I84" i="53"/>
  <c r="E42" i="9"/>
  <c r="F19" i="7"/>
  <c r="F39" i="7" s="1"/>
  <c r="I21" i="13"/>
  <c r="I73" i="13"/>
  <c r="M13" i="13"/>
  <c r="M14" i="13" s="1"/>
  <c r="G73" i="13"/>
  <c r="J21" i="13"/>
  <c r="J49" i="13" s="1"/>
  <c r="F14" i="13"/>
  <c r="F21" i="13" s="1"/>
  <c r="F49" i="13" s="1"/>
  <c r="K21" i="13"/>
  <c r="K49" i="13" s="1"/>
  <c r="K73" i="13"/>
  <c r="K101" i="13" s="1"/>
  <c r="L73" i="13"/>
  <c r="L101" i="13" s="1"/>
  <c r="F47" i="6"/>
  <c r="G48" i="6"/>
  <c r="H58" i="5"/>
  <c r="I45" i="7"/>
  <c r="I11" i="7" s="1"/>
  <c r="I15" i="7" s="1"/>
  <c r="K31" i="7"/>
  <c r="K35" i="7" s="1"/>
  <c r="E11" i="6"/>
  <c r="E20" i="6" s="1"/>
  <c r="G22" i="5"/>
  <c r="E24" i="6"/>
  <c r="E20" i="5"/>
  <c r="E12" i="5"/>
  <c r="E30" i="5"/>
  <c r="F10" i="6"/>
  <c r="F57" i="8" s="1"/>
  <c r="E31" i="5"/>
  <c r="M152" i="10"/>
  <c r="N62" i="46"/>
  <c r="H14" i="5"/>
  <c r="F14" i="6"/>
  <c r="K546" i="10"/>
  <c r="K550" i="10" s="1"/>
  <c r="K524" i="10" s="1"/>
  <c r="K526" i="10" s="1"/>
  <c r="F23" i="6" s="1"/>
  <c r="J51" i="53"/>
  <c r="M47" i="14"/>
  <c r="N39" i="46"/>
  <c r="N59" i="46"/>
  <c r="G40" i="6"/>
  <c r="E36" i="6"/>
  <c r="M148" i="14"/>
  <c r="S145" i="14"/>
  <c r="G36" i="6"/>
  <c r="Q291" i="14"/>
  <c r="K46" i="14"/>
  <c r="S47" i="14"/>
  <c r="L62" i="22"/>
  <c r="N154" i="46"/>
  <c r="N159" i="46" s="1"/>
  <c r="L151" i="46" s="1"/>
  <c r="F26" i="5"/>
  <c r="F37" i="5" s="1"/>
  <c r="F39" i="5" s="1"/>
  <c r="K42" i="22"/>
  <c r="J42" i="22" s="1"/>
  <c r="F35" i="6"/>
  <c r="K51" i="35"/>
  <c r="N39" i="35"/>
  <c r="K60" i="22"/>
  <c r="G35" i="6"/>
  <c r="H45" i="22"/>
  <c r="H47" i="22" s="1"/>
  <c r="E53" i="8"/>
  <c r="H53" i="8" s="1"/>
  <c r="D129" i="53"/>
  <c r="J52" i="53"/>
  <c r="J49" i="7" s="1"/>
  <c r="J51" i="35"/>
  <c r="M39" i="35"/>
  <c r="G21" i="53"/>
  <c r="J21" i="53" s="1"/>
  <c r="B39" i="7"/>
  <c r="E456" i="10"/>
  <c r="K12" i="11"/>
  <c r="K14" i="11" s="1"/>
  <c r="H21" i="13"/>
  <c r="H49" i="13" s="1"/>
  <c r="L21" i="13"/>
  <c r="M41" i="13"/>
  <c r="F73" i="13"/>
  <c r="F101" i="13" s="1"/>
  <c r="J73" i="13"/>
  <c r="J101" i="13" s="1"/>
  <c r="S46" i="14"/>
  <c r="Q293" i="14"/>
  <c r="J30" i="53"/>
  <c r="M87" i="53"/>
  <c r="L113" i="53" s="1"/>
  <c r="G31" i="46"/>
  <c r="H63" i="46"/>
  <c r="G17" i="5"/>
  <c r="E50" i="8"/>
  <c r="H50" i="8" s="1"/>
  <c r="D23" i="41"/>
  <c r="M570" i="10"/>
  <c r="G24" i="6" s="1"/>
  <c r="K8" i="11"/>
  <c r="K10" i="11" s="1"/>
  <c r="I83" i="11"/>
  <c r="M19" i="13"/>
  <c r="M20" i="13" s="1"/>
  <c r="H73" i="13"/>
  <c r="H101" i="13" s="1"/>
  <c r="I120" i="53"/>
  <c r="I122" i="53" s="1"/>
  <c r="H25" i="5"/>
  <c r="D27" i="41"/>
  <c r="G38" i="53"/>
  <c r="J38" i="53" s="1"/>
  <c r="L154" i="46"/>
  <c r="I19" i="7"/>
  <c r="B31" i="6"/>
  <c r="B41" i="6" s="1"/>
  <c r="F36" i="6"/>
  <c r="K43" i="22"/>
  <c r="J43" i="22" s="1"/>
  <c r="L43" i="22" s="1"/>
  <c r="S146" i="14"/>
  <c r="K148" i="14"/>
  <c r="I27" i="11"/>
  <c r="I28" i="11" s="1"/>
  <c r="I48" i="11" s="1"/>
  <c r="I8" i="11"/>
  <c r="I10" i="11" s="1"/>
  <c r="I15" i="11" s="1"/>
  <c r="F25" i="6" s="1"/>
  <c r="K55" i="11"/>
  <c r="K76" i="11" s="1"/>
  <c r="I85" i="53"/>
  <c r="D15" i="41"/>
  <c r="K152" i="10"/>
  <c r="G143" i="46"/>
  <c r="E93" i="46"/>
  <c r="G51" i="46"/>
  <c r="F37" i="22"/>
  <c r="K28" i="11"/>
  <c r="I29" i="13"/>
  <c r="M28" i="13"/>
  <c r="M29" i="13" s="1"/>
  <c r="L48" i="13"/>
  <c r="M48" i="13" s="1"/>
  <c r="M46" i="13"/>
  <c r="D108" i="13"/>
  <c r="D154" i="13"/>
  <c r="G93" i="13"/>
  <c r="O46" i="14"/>
  <c r="O37" i="14"/>
  <c r="O47" i="14" s="1"/>
  <c r="K47" i="14"/>
  <c r="M46" i="14"/>
  <c r="E130" i="10"/>
  <c r="I60" i="13"/>
  <c r="I8" i="13"/>
  <c r="E350" i="10"/>
  <c r="Q46" i="14"/>
  <c r="Q37" i="14"/>
  <c r="Q47" i="14" s="1"/>
  <c r="E146" i="46"/>
  <c r="D51" i="41"/>
  <c r="D43" i="41"/>
  <c r="D35" i="41"/>
  <c r="D19" i="41"/>
  <c r="D31" i="41"/>
  <c r="D39" i="41"/>
  <c r="D55" i="41"/>
  <c r="K543" i="10"/>
  <c r="I106" i="11"/>
  <c r="M162" i="14"/>
  <c r="S159" i="14"/>
  <c r="S162" i="14" s="1"/>
  <c r="J120" i="53"/>
  <c r="J122" i="53" s="1"/>
  <c r="H42" i="46"/>
  <c r="G13" i="53"/>
  <c r="M101" i="13" l="1"/>
  <c r="G25" i="5"/>
  <c r="F59" i="5"/>
  <c r="F49" i="5"/>
  <c r="L115" i="53"/>
  <c r="H95" i="53"/>
  <c r="H104" i="53" s="1"/>
  <c r="K46" i="11"/>
  <c r="K58" i="67"/>
  <c r="K61" i="67" s="1"/>
  <c r="K48" i="11"/>
  <c r="E155" i="14"/>
  <c r="E185" i="14" s="1"/>
  <c r="F404" i="10"/>
  <c r="F403" i="10"/>
  <c r="M407" i="10"/>
  <c r="M408" i="10" s="1"/>
  <c r="M410" i="10" s="1"/>
  <c r="K408" i="10"/>
  <c r="K410" i="10" s="1"/>
  <c r="I112" i="35"/>
  <c r="J112" i="35" s="1"/>
  <c r="G112" i="35"/>
  <c r="H112" i="35" s="1"/>
  <c r="H45" i="7"/>
  <c r="I50" i="7" s="1"/>
  <c r="F48" i="8"/>
  <c r="I49" i="13"/>
  <c r="K53" i="7"/>
  <c r="J50" i="7"/>
  <c r="H18" i="5"/>
  <c r="H26" i="5" s="1"/>
  <c r="H123" i="35"/>
  <c r="I123" i="35"/>
  <c r="J123" i="35" s="1"/>
  <c r="I101" i="13"/>
  <c r="E37" i="6"/>
  <c r="E44" i="6" s="1"/>
  <c r="E33" i="9"/>
  <c r="E203" i="14"/>
  <c r="F99" i="14" s="1"/>
  <c r="E13" i="5"/>
  <c r="E27" i="6"/>
  <c r="E60" i="14"/>
  <c r="E101" i="14" s="1"/>
  <c r="E16" i="6" s="1"/>
  <c r="E29" i="6" s="1"/>
  <c r="K114" i="11"/>
  <c r="K299" i="10"/>
  <c r="G32" i="5" s="1"/>
  <c r="K44" i="22"/>
  <c r="L44" i="22" s="1"/>
  <c r="L104" i="53"/>
  <c r="G55" i="5"/>
  <c r="G58" i="5" s="1"/>
  <c r="G18" i="5"/>
  <c r="G26" i="5" s="1"/>
  <c r="K50" i="7"/>
  <c r="G47" i="53"/>
  <c r="G48" i="53" s="1"/>
  <c r="F48" i="6"/>
  <c r="F41" i="6"/>
  <c r="G101" i="13"/>
  <c r="G30" i="8" s="1"/>
  <c r="G39" i="8" s="1"/>
  <c r="G48" i="8" s="1"/>
  <c r="G50" i="8" s="1"/>
  <c r="F49" i="8" s="1"/>
  <c r="M21" i="13"/>
  <c r="M49" i="13" s="1"/>
  <c r="I23" i="7"/>
  <c r="I25" i="7" s="1"/>
  <c r="N63" i="46"/>
  <c r="J56" i="22"/>
  <c r="K56" i="22" s="1"/>
  <c r="L56" i="22" s="1"/>
  <c r="K567" i="10"/>
  <c r="K570" i="10" s="1"/>
  <c r="J38" i="22" s="1"/>
  <c r="S148" i="14"/>
  <c r="G41" i="6"/>
  <c r="G49" i="6" s="1"/>
  <c r="L159" i="46"/>
  <c r="L49" i="13"/>
  <c r="L51" i="46"/>
  <c r="L59" i="46" s="1"/>
  <c r="E474" i="10"/>
  <c r="E12" i="6"/>
  <c r="E21" i="6" s="1"/>
  <c r="K15" i="11"/>
  <c r="G25" i="6" s="1"/>
  <c r="G30" i="6" s="1"/>
  <c r="D133" i="53"/>
  <c r="D153" i="53" s="1"/>
  <c r="E54" i="8"/>
  <c r="H54" i="8" s="1"/>
  <c r="I114" i="11"/>
  <c r="J60" i="22"/>
  <c r="K63" i="22"/>
  <c r="J45" i="22"/>
  <c r="L42" i="22"/>
  <c r="F39" i="22"/>
  <c r="K19" i="7"/>
  <c r="H47" i="53"/>
  <c r="J13" i="53"/>
  <c r="J22" i="53" s="1"/>
  <c r="G22" i="53"/>
  <c r="E370" i="10"/>
  <c r="E33" i="5"/>
  <c r="H43" i="46"/>
  <c r="N42" i="46"/>
  <c r="N43" i="46" s="1"/>
  <c r="L42" i="46"/>
  <c r="L43" i="46" s="1"/>
  <c r="E158" i="10"/>
  <c r="E14" i="5"/>
  <c r="E21" i="5"/>
  <c r="B55" i="6"/>
  <c r="B49" i="6"/>
  <c r="B48" i="6"/>
  <c r="H11" i="7" l="1"/>
  <c r="H15" i="7" s="1"/>
  <c r="H23" i="7" s="1"/>
  <c r="H25" i="7" s="1"/>
  <c r="F50" i="8"/>
  <c r="F58" i="8" s="1"/>
  <c r="D77" i="35"/>
  <c r="E38" i="6"/>
  <c r="E45" i="6" s="1"/>
  <c r="F80" i="14"/>
  <c r="E236" i="14"/>
  <c r="E258" i="14"/>
  <c r="F256" i="14"/>
  <c r="K45" i="22"/>
  <c r="L45" i="22" s="1"/>
  <c r="I75" i="53"/>
  <c r="G36" i="5"/>
  <c r="G37" i="5" s="1"/>
  <c r="I73" i="53" s="1"/>
  <c r="E34" i="5"/>
  <c r="E28" i="6"/>
  <c r="J69" i="53"/>
  <c r="G54" i="6" s="1"/>
  <c r="F49" i="6"/>
  <c r="H36" i="5"/>
  <c r="G58" i="8"/>
  <c r="F24" i="6"/>
  <c r="F30" i="6" s="1"/>
  <c r="L31" i="46"/>
  <c r="L39" i="46" s="1"/>
  <c r="F143" i="46"/>
  <c r="D166" i="53"/>
  <c r="D207" i="53" s="1"/>
  <c r="E36" i="9"/>
  <c r="J63" i="22"/>
  <c r="L63" i="22" s="1"/>
  <c r="L60" i="22"/>
  <c r="E485" i="10"/>
  <c r="E13" i="6"/>
  <c r="K38" i="22"/>
  <c r="L38" i="22" s="1"/>
  <c r="E170" i="10"/>
  <c r="E15" i="5"/>
  <c r="I52" i="7"/>
  <c r="I53" i="7" s="1"/>
  <c r="H48" i="53"/>
  <c r="J48" i="53" s="1"/>
  <c r="I69" i="53" s="1"/>
  <c r="J47" i="53"/>
  <c r="F47" i="22"/>
  <c r="E499" i="10" l="1"/>
  <c r="E18" i="9"/>
  <c r="E39" i="6"/>
  <c r="E22" i="6"/>
  <c r="E15" i="6"/>
  <c r="E46" i="6"/>
  <c r="H37" i="5"/>
  <c r="G36" i="7" s="1"/>
  <c r="J52" i="7"/>
  <c r="J53" i="7" s="1"/>
  <c r="F54" i="6"/>
  <c r="G16" i="7"/>
  <c r="K16" i="7" s="1"/>
  <c r="G39" i="5"/>
  <c r="E14" i="6"/>
  <c r="G42" i="46"/>
  <c r="G62" i="46" s="1"/>
  <c r="E17" i="46"/>
  <c r="E206" i="10"/>
  <c r="E16" i="5"/>
  <c r="G59" i="5" l="1"/>
  <c r="G49" i="5"/>
  <c r="H39" i="5"/>
  <c r="J73" i="53"/>
  <c r="K36" i="7"/>
  <c r="K43" i="7" s="1"/>
  <c r="G45" i="7"/>
  <c r="G53" i="6" s="1"/>
  <c r="H49" i="7" s="1"/>
  <c r="H50" i="7" s="1"/>
  <c r="G43" i="7"/>
  <c r="E22" i="5"/>
  <c r="E216" i="10"/>
  <c r="H59" i="5" l="1"/>
  <c r="H49" i="5"/>
  <c r="J89" i="53"/>
  <c r="H27" i="8" s="1"/>
  <c r="K45" i="7"/>
  <c r="G11" i="7"/>
  <c r="G15" i="7" s="1"/>
  <c r="G23" i="7" s="1"/>
  <c r="G55" i="6"/>
  <c r="F572" i="10"/>
  <c r="E20" i="8"/>
  <c r="E17" i="5"/>
  <c r="K11" i="7" l="1"/>
  <c r="K15" i="7" s="1"/>
  <c r="M89" i="53"/>
  <c r="G25" i="7"/>
  <c r="F53" i="6" s="1"/>
  <c r="H52" i="7" s="1"/>
  <c r="H53" i="7" s="1"/>
  <c r="M434" i="10"/>
  <c r="K23" i="7" l="1"/>
  <c r="K25" i="7" s="1"/>
  <c r="F55" i="6"/>
  <c r="K447" i="10"/>
  <c r="K432" i="10" l="1"/>
  <c r="K434" i="10" s="1"/>
  <c r="M23" i="7"/>
  <c r="M440" i="10"/>
  <c r="G11" i="6"/>
  <c r="G17" i="6" s="1"/>
  <c r="G31" i="6" s="1"/>
  <c r="G50" i="6" s="1"/>
  <c r="G59" i="6" s="1"/>
  <c r="J55" i="22" l="1"/>
  <c r="M28" i="35"/>
  <c r="L28" i="35" s="1"/>
  <c r="K440" i="10"/>
  <c r="P440" i="10" s="1"/>
  <c r="F11" i="6"/>
  <c r="F17" i="6" s="1"/>
  <c r="F31" i="6" s="1"/>
  <c r="F50" i="6" s="1"/>
  <c r="N23" i="7" s="1"/>
  <c r="N40" i="35"/>
  <c r="I82" i="53" l="1"/>
  <c r="I89" i="53" s="1"/>
  <c r="H28" i="8" s="1"/>
  <c r="M40" i="35"/>
  <c r="M21" i="35"/>
  <c r="L21" i="35" s="1"/>
  <c r="J37" i="22"/>
  <c r="J39" i="22" s="1"/>
  <c r="F59" i="6"/>
  <c r="K55" i="22"/>
  <c r="K57" i="22" s="1"/>
  <c r="K65" i="22" s="1"/>
  <c r="J57" i="22"/>
  <c r="L89" i="53" l="1"/>
  <c r="K37" i="22"/>
  <c r="L37" i="22" s="1"/>
  <c r="J47" i="22"/>
  <c r="L55" i="22"/>
  <c r="J65" i="22"/>
  <c r="L65" i="22" s="1"/>
  <c r="L57" i="22"/>
  <c r="K39" i="22" l="1"/>
  <c r="K47" i="22" s="1"/>
  <c r="L47" i="22" s="1"/>
  <c r="L39"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Mary-Ann Gong</author>
  </authors>
  <commentList>
    <comment ref="F130" authorId="0" shapeId="0" xr:uid="{00000000-0006-0000-0D00-000001000000}">
      <text>
        <r>
          <rPr>
            <b/>
            <sz val="8"/>
            <color indexed="81"/>
            <rFont val="Tahoma"/>
            <family val="2"/>
          </rPr>
          <t>Includes:
Developer contributions as cash or non-monetary assets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Burns, Derek</author>
  </authors>
  <commentList>
    <comment ref="E85" authorId="0" shapeId="0" xr:uid="{855F0817-9F81-461A-B278-BE4CAAF29D1A}">
      <text>
        <r>
          <rPr>
            <b/>
            <sz val="9"/>
            <color indexed="81"/>
            <rFont val="Tahoma"/>
            <family val="2"/>
          </rPr>
          <t>Burns, Derek:</t>
        </r>
        <r>
          <rPr>
            <sz val="9"/>
            <color indexed="81"/>
            <rFont val="Tahoma"/>
            <family val="2"/>
          </rPr>
          <t xml:space="preserve">
Look to provide policy guidance for all classes greater than 10% of PP&amp;E / Infrastructure (use professional judgment)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Jeff Tongs</author>
  </authors>
  <commentList>
    <comment ref="B72" authorId="0" shapeId="0" xr:uid="{00000000-0006-0000-1700-000001000000}">
      <text>
        <r>
          <rPr>
            <b/>
            <sz val="9"/>
            <color indexed="81"/>
            <rFont val="Tahoma"/>
            <family val="2"/>
          </rPr>
          <t>Section 84 - Required to be in Financial Statements</t>
        </r>
      </text>
    </comment>
  </commentList>
</comments>
</file>

<file path=xl/sharedStrings.xml><?xml version="1.0" encoding="utf-8"?>
<sst xmlns="http://schemas.openxmlformats.org/spreadsheetml/2006/main" count="3692" uniqueCount="2106">
  <si>
    <t>Net gain/(loss) on disposal of property, infrastructure, plant and equipment</t>
  </si>
  <si>
    <t>Proceeds of sale</t>
  </si>
  <si>
    <t>Write down value  of assets disposed</t>
  </si>
  <si>
    <t>36(a)</t>
  </si>
  <si>
    <t>Basis of accounting</t>
  </si>
  <si>
    <t>Credit risk</t>
  </si>
  <si>
    <t>Functions/Activities of the Council</t>
  </si>
  <si>
    <t>Total 
Expenditure</t>
  </si>
  <si>
    <t>Total 
Revenue</t>
  </si>
  <si>
    <t>Waste Management</t>
  </si>
  <si>
    <t>Planning Services</t>
  </si>
  <si>
    <t>Governance and administration</t>
  </si>
  <si>
    <t>Roads, streets and bridges</t>
  </si>
  <si>
    <t>Operation and maintenance of open or deep drainage systems in urban areas, including the lining of piping of creeks but excludes drainage associated with road works, flood mitigation and agriculture.</t>
  </si>
  <si>
    <t>Collection, handling, processing and disposal of all waste materials.</t>
  </si>
  <si>
    <t>Environmental Health/Environmental Management</t>
  </si>
  <si>
    <t>Environmental Health includes disease control, food surveillance, public-use building standards, health education and promotion, water quality, workplace safety and cemeteries.</t>
  </si>
  <si>
    <t>Environmental management includes strategies and programs for the protection of the environment and regulations of activities affecting the environment.</t>
  </si>
  <si>
    <t>Administration of the town planning scheme, subdivisions and urban and rural renewal programs.</t>
  </si>
  <si>
    <t>Community amenities</t>
  </si>
  <si>
    <t>Community services</t>
  </si>
  <si>
    <t xml:space="preserve">Recreation facilities </t>
  </si>
  <si>
    <t>Operation and maintenance of sporting facilities (includes swimming pools, active and passive recreation and recreation centres).</t>
  </si>
  <si>
    <t xml:space="preserve">Economic development </t>
  </si>
  <si>
    <t>Maintenance and marketing of tourist facilities, property development and operation of caravan parks.</t>
  </si>
  <si>
    <t>Rates and charges and work not attributed elsewhere.</t>
  </si>
  <si>
    <t>Interest-bearing loans and borrowings</t>
  </si>
  <si>
    <t>Total Equity</t>
  </si>
  <si>
    <t>Inventories held for sale</t>
  </si>
  <si>
    <t>Trust funds and deposits</t>
  </si>
  <si>
    <t xml:space="preserve">Investment revenue from water corporation </t>
  </si>
  <si>
    <t>Financial guarantees</t>
  </si>
  <si>
    <t>Guarantees for loans to other entities</t>
  </si>
  <si>
    <t xml:space="preserve">   Notes to the Financial Report</t>
  </si>
  <si>
    <t>&lt;&gt; %</t>
  </si>
  <si>
    <t>Bank overdraft</t>
  </si>
  <si>
    <t>(insert other relevant items)</t>
  </si>
  <si>
    <t>Rates debtors</t>
  </si>
  <si>
    <t>7, 132</t>
  </si>
  <si>
    <t>Cash and cash equivalents</t>
  </si>
  <si>
    <t>Trade and other receivables</t>
  </si>
  <si>
    <t>Non-current assets classified as held for sale</t>
  </si>
  <si>
    <t>Council's share of reserves at start of year</t>
  </si>
  <si>
    <t>Carrying value of investment at start of year</t>
  </si>
  <si>
    <t>Share of asset revaluation</t>
  </si>
  <si>
    <t>Distributions received</t>
  </si>
  <si>
    <t>Operating commitments</t>
  </si>
  <si>
    <t>Capital commitments</t>
  </si>
  <si>
    <t>Council's share of contingent liabilities and contingent assets</t>
  </si>
  <si>
    <t>(d)</t>
  </si>
  <si>
    <t>(e)</t>
  </si>
  <si>
    <t>The purpose of the Council is to:</t>
  </si>
  <si>
    <t xml:space="preserve">  -  &lt;&gt; waste management group </t>
  </si>
  <si>
    <t xml:space="preserve">Cash flows from financing activities     </t>
  </si>
  <si>
    <t>101, 128</t>
  </si>
  <si>
    <t>101, 138</t>
  </si>
  <si>
    <t>Profit</t>
  </si>
  <si>
    <t>Financial assets:</t>
  </si>
  <si>
    <t>Financial liabilities:</t>
  </si>
  <si>
    <t>&lt;Provide details&gt;</t>
  </si>
  <si>
    <t>$'000</t>
  </si>
  <si>
    <t>Statement of Financial Position</t>
  </si>
  <si>
    <t>Statement of Cash Flows</t>
  </si>
  <si>
    <t>The above statement should be read in conjunction with the accompanying notes.</t>
  </si>
  <si>
    <t>The above statement should be read with the accompanying notes.</t>
  </si>
  <si>
    <t>Actual</t>
  </si>
  <si>
    <t>Budget</t>
  </si>
  <si>
    <t>Statutory fees and fines</t>
  </si>
  <si>
    <t>Total Land</t>
  </si>
  <si>
    <t>Cash at bank</t>
  </si>
  <si>
    <t>Table of Contents</t>
  </si>
  <si>
    <t>Impairment of assets</t>
  </si>
  <si>
    <t>Note 10</t>
  </si>
  <si>
    <t>Financial Statements</t>
  </si>
  <si>
    <t>Notes to Financial Statements</t>
  </si>
  <si>
    <t>Depreciation and amortisation</t>
  </si>
  <si>
    <t>Investments in associates</t>
  </si>
  <si>
    <t>Materials and services</t>
  </si>
  <si>
    <t>Acquisition of assets</t>
  </si>
  <si>
    <t>Contributions - non-monetary assets</t>
  </si>
  <si>
    <t>$ '000</t>
  </si>
  <si>
    <t>(c) Other reserves</t>
  </si>
  <si>
    <t xml:space="preserve">Total Reserves </t>
  </si>
  <si>
    <t>Total non-cash financing and investing activities</t>
  </si>
  <si>
    <t>('1stPAGE (2)','Background' 'Merge Details', 'Cover', 'Checklist' 'Table of Contents' ).</t>
  </si>
  <si>
    <t>Current assets</t>
  </si>
  <si>
    <t>Council's share of accumulated surplus(deficit)</t>
  </si>
  <si>
    <t>Council's share of accumulated surplus(deficit) at end of year</t>
  </si>
  <si>
    <t>Council's share of accumulated surplus(deficit) at start of year</t>
  </si>
  <si>
    <t>Share of surplus(deficit) for year</t>
  </si>
  <si>
    <t>(b)</t>
  </si>
  <si>
    <t>(c)</t>
  </si>
  <si>
    <t>Land</t>
  </si>
  <si>
    <t>Buildings</t>
  </si>
  <si>
    <t>Infrastructure</t>
  </si>
  <si>
    <t>Software</t>
  </si>
  <si>
    <t>Parking infringement system</t>
  </si>
  <si>
    <t>Aged care</t>
  </si>
  <si>
    <t>Other receipts (inclusive of GST)</t>
  </si>
  <si>
    <t>Financing arrangements</t>
  </si>
  <si>
    <t>Non-cash financing and investing activities</t>
  </si>
  <si>
    <t>Revaluation</t>
  </si>
  <si>
    <t>Other</t>
  </si>
  <si>
    <t>Total</t>
  </si>
  <si>
    <t>Inflows/</t>
  </si>
  <si>
    <t>(Outflows)</t>
  </si>
  <si>
    <t>Aggregate net fair value</t>
  </si>
  <si>
    <t>Employee benefits</t>
  </si>
  <si>
    <t>Grants (inclusive of GST)</t>
  </si>
  <si>
    <t>LGA1993</t>
  </si>
  <si>
    <t>Investment revenue from water corporation</t>
  </si>
  <si>
    <t>infringement</t>
  </si>
  <si>
    <t>system</t>
  </si>
  <si>
    <t>Gross carrying amount</t>
  </si>
  <si>
    <t>Additions from internal developments</t>
  </si>
  <si>
    <t>Accumulated amortisation and impairment</t>
  </si>
  <si>
    <t>Amortisation expense</t>
  </si>
  <si>
    <t xml:space="preserve">bed </t>
  </si>
  <si>
    <t xml:space="preserve">$ '000       </t>
  </si>
  <si>
    <t>Transfers (to) from reserves</t>
  </si>
  <si>
    <t>Plant and Equipment</t>
  </si>
  <si>
    <t>Total buildings</t>
  </si>
  <si>
    <t>Total land</t>
  </si>
  <si>
    <t>Total property</t>
  </si>
  <si>
    <t>Fees - ticket machines</t>
  </si>
  <si>
    <t xml:space="preserve">76(c)    </t>
  </si>
  <si>
    <t>Environmental health</t>
  </si>
  <si>
    <t>Planning services</t>
  </si>
  <si>
    <t>Recreation facilities</t>
  </si>
  <si>
    <t>Economic development</t>
  </si>
  <si>
    <t>Other - not attributable</t>
  </si>
  <si>
    <t>Operation and maintenance of housing for aged persons and persons of limited means, Civic Centre, Council halls (excluding indoor sports complexes).</t>
  </si>
  <si>
    <t>Competitive neutrality costs</t>
  </si>
  <si>
    <t>Level 2</t>
  </si>
  <si>
    <t>Assets held for sale</t>
  </si>
  <si>
    <t>Trade payables</t>
  </si>
  <si>
    <t>Proceeds from sale of investment property</t>
  </si>
  <si>
    <t>Fair value adjustments</t>
  </si>
  <si>
    <t>Fair value adjustments for investment property</t>
  </si>
  <si>
    <t xml:space="preserve">Cash and cash equivalents at the end of the financial year     </t>
  </si>
  <si>
    <t>Interest rate risk</t>
  </si>
  <si>
    <t>Provisions</t>
  </si>
  <si>
    <t>(i)</t>
  </si>
  <si>
    <t>Works in progress</t>
  </si>
  <si>
    <t>Borrowings - secured</t>
  </si>
  <si>
    <t xml:space="preserve">Buildings </t>
  </si>
  <si>
    <t>Loans and advances to community organisations</t>
  </si>
  <si>
    <t>Net GST receivable</t>
  </si>
  <si>
    <t>Net GST payable</t>
  </si>
  <si>
    <t>Total current assets</t>
  </si>
  <si>
    <t>Non-current assets</t>
  </si>
  <si>
    <t>Total non-current assets</t>
  </si>
  <si>
    <t>Liabilities</t>
  </si>
  <si>
    <t>Total current liabilities</t>
  </si>
  <si>
    <t>Non-current liabilities</t>
  </si>
  <si>
    <t>Total non-current liabilities</t>
  </si>
  <si>
    <t>Net Assets</t>
  </si>
  <si>
    <t>Equity</t>
  </si>
  <si>
    <t>Cash flows from operating activities</t>
  </si>
  <si>
    <t>Aus40.1</t>
  </si>
  <si>
    <t>101 (5)</t>
  </si>
  <si>
    <t>68(l)</t>
  </si>
  <si>
    <t>101 (108)</t>
  </si>
  <si>
    <t>20(a)(ii)</t>
  </si>
  <si>
    <t>21, 16</t>
  </si>
  <si>
    <t>21, 17</t>
  </si>
  <si>
    <t>126(a)</t>
  </si>
  <si>
    <t>126(b)</t>
  </si>
  <si>
    <t>28, 29</t>
  </si>
  <si>
    <t>116 (138)</t>
  </si>
  <si>
    <t>43 (74)</t>
  </si>
  <si>
    <t>76(c)</t>
  </si>
  <si>
    <t>118(a)</t>
  </si>
  <si>
    <t>26(b)</t>
  </si>
  <si>
    <t>73(a)</t>
  </si>
  <si>
    <t>Finance costs</t>
  </si>
  <si>
    <t>Proceeds from interest bearing loans and borrowings</t>
  </si>
  <si>
    <t>Repayment of interest bearing loans and borrowings</t>
  </si>
  <si>
    <t>Share of other comprehensive income of associates and joint ventures accounted for by the equity method</t>
  </si>
  <si>
    <t>Land under roads</t>
  </si>
  <si>
    <t xml:space="preserve">(b) </t>
  </si>
  <si>
    <t>Current liabilities</t>
  </si>
  <si>
    <t>Cash and cash equivalents at the beginning of the financial year</t>
  </si>
  <si>
    <t>Significant Business Activities</t>
  </si>
  <si>
    <t>Commonwealth Government - roads to recovery</t>
  </si>
  <si>
    <t>Community health</t>
  </si>
  <si>
    <t>Family and children</t>
  </si>
  <si>
    <t>Home help/linkages</t>
  </si>
  <si>
    <t>Senior citizen centres</t>
  </si>
  <si>
    <t>Transport</t>
  </si>
  <si>
    <t>Recreation</t>
  </si>
  <si>
    <t>Local government improvement incentives</t>
  </si>
  <si>
    <t>Commonwealth Government - bridges</t>
  </si>
  <si>
    <t>Total investment revenue from water corporation</t>
  </si>
  <si>
    <t>Total investment in water corporation</t>
  </si>
  <si>
    <t xml:space="preserve"> Total financial liabilities</t>
  </si>
  <si>
    <t xml:space="preserve"> - we have a policy for establishing credit limits for the entities we deal with; </t>
  </si>
  <si>
    <t xml:space="preserve"> - we may require collateral where appropriate; and</t>
  </si>
  <si>
    <t>ANNUAL FINANCIAL REPORT</t>
  </si>
  <si>
    <t>Land improvements</t>
  </si>
  <si>
    <t>&lt;&gt; years</t>
  </si>
  <si>
    <t>Later than five years</t>
  </si>
  <si>
    <t xml:space="preserve">(i)  </t>
  </si>
  <si>
    <t>Councillors</t>
  </si>
  <si>
    <t>(a)</t>
  </si>
  <si>
    <t>The maturity profile for Council's borrowings is:</t>
  </si>
  <si>
    <t>Reference</t>
  </si>
  <si>
    <t>Para</t>
  </si>
  <si>
    <t>Statement of Changes in Equity</t>
  </si>
  <si>
    <t>Note 1</t>
  </si>
  <si>
    <t>Note 2</t>
  </si>
  <si>
    <t>Note 3</t>
  </si>
  <si>
    <t>Total statutory fees and fines</t>
  </si>
  <si>
    <t>Total user fees</t>
  </si>
  <si>
    <t>Other income</t>
  </si>
  <si>
    <t>General Manager</t>
  </si>
  <si>
    <t>35(c)</t>
  </si>
  <si>
    <t>35(b)(iii)</t>
  </si>
  <si>
    <t>75(f)(i)</t>
  </si>
  <si>
    <t>118(d)</t>
  </si>
  <si>
    <t>37(b)</t>
  </si>
  <si>
    <t>40(a), (b)</t>
  </si>
  <si>
    <t>20(e)</t>
  </si>
  <si>
    <t>Aus36.1(b)</t>
  </si>
  <si>
    <t>73(d)</t>
  </si>
  <si>
    <t xml:space="preserve">73(d), </t>
  </si>
  <si>
    <t>74(b)</t>
  </si>
  <si>
    <t>73(e)(i)-(ix)</t>
  </si>
  <si>
    <t>76(a)-(g)</t>
  </si>
  <si>
    <t>84(a)</t>
  </si>
  <si>
    <t>84(b)</t>
  </si>
  <si>
    <t>84(c)</t>
  </si>
  <si>
    <t>84(e)</t>
  </si>
  <si>
    <t>39(a)</t>
  </si>
  <si>
    <t>50(a)</t>
  </si>
  <si>
    <t>34(a), 39(a)</t>
  </si>
  <si>
    <t>34(a)</t>
  </si>
  <si>
    <t>AASB 137</t>
  </si>
  <si>
    <t>COMMENT</t>
  </si>
  <si>
    <t>Investments in associates accounted for using the equity method</t>
  </si>
  <si>
    <t>Trade and other payables</t>
  </si>
  <si>
    <t>Impairment losses are recognised in the statement of comprehensive income under other expenses.</t>
  </si>
  <si>
    <t>Reversals of impairment losses are recognised in the statement of comprehensive income under other revenue.</t>
  </si>
  <si>
    <t>(c) Other Provisions</t>
  </si>
  <si>
    <t>Closing balance</t>
  </si>
  <si>
    <t>Investments and other financial assets</t>
  </si>
  <si>
    <t>Total contractual financial assets</t>
  </si>
  <si>
    <t>(AAA credit rating)</t>
  </si>
  <si>
    <t>(BBBB credit rating)</t>
  </si>
  <si>
    <t>Government agencies</t>
  </si>
  <si>
    <t>(min BBB credit rating)</t>
  </si>
  <si>
    <t>[This table is best practice disclosure. Entities are advised to follow this to the extent practicable. Where it is impractical to disclose credit ratings, these can be omitted and an entity can simply disclose creditors using categories that fit entity’s own creditor profiles]</t>
  </si>
  <si>
    <t>In the application of Australian Accounting Standards, Council is required to make judgements, estimates and assumptions about carrying values of assets and liabilities that are not readily apparent from other sources. The estimates and associated assumptions are based on historical experience and various other factors that are believed to be reasonable under the circumstances, the results of which form the basis of making the judgements. Actual results may differ from these estimates.</t>
  </si>
  <si>
    <t>The estimates and underlying assumptions are reviewed on an ongoing basis. Revisions to accounting estimates are recognised in the period in which the estimate is revised if the revision affects only that period or in the period of the revision and future periods if the revision affects both current and future periods.</t>
  </si>
  <si>
    <t>If changes to assumptions have been made that will result in material adjustments to assets and liabilities in the next reporting period, details should be disclosed either in this note, or in the relevant asset or liability note</t>
  </si>
  <si>
    <t>Leasehold improvements</t>
  </si>
  <si>
    <t>Waste management</t>
  </si>
  <si>
    <t>Rates and charges</t>
  </si>
  <si>
    <t>User fees</t>
  </si>
  <si>
    <t>Repayment of loans and advances from community organisations</t>
  </si>
  <si>
    <t>Total liabilities</t>
  </si>
  <si>
    <t>Total assets</t>
  </si>
  <si>
    <t>Roads</t>
  </si>
  <si>
    <t>Interest on rates</t>
  </si>
  <si>
    <t>Recognition and measurement of assets</t>
  </si>
  <si>
    <t>Financial Instruments</t>
  </si>
  <si>
    <t>-</t>
  </si>
  <si>
    <t>Summary of grants</t>
  </si>
  <si>
    <t>Federally funded grants</t>
  </si>
  <si>
    <t>State funded grants</t>
  </si>
  <si>
    <t>Others</t>
  </si>
  <si>
    <t>Dividends</t>
  </si>
  <si>
    <t>Other refundable deposits</t>
  </si>
  <si>
    <t>Annual leave</t>
  </si>
  <si>
    <t>Long service leave</t>
  </si>
  <si>
    <t>Change in assets and liabilities:</t>
  </si>
  <si>
    <t>Less bank overdraft</t>
  </si>
  <si>
    <t>Used facilities</t>
  </si>
  <si>
    <t>Unused facilities</t>
  </si>
  <si>
    <t>Council has a clearly defined process and timetable for reconciling and finalising the trial balance, completing draft financial statements, submitting financial statements to the auditor, completion of the audit, submitting the financial statements to the audit (or equivalent) committee for review and approval and signing of the "Certification of the Financial Report".</t>
  </si>
  <si>
    <t>Revenues, expenses and assets are recognised net of the amount of GST, except where the amount of GST incurred is not recoverable from the Australian Tax Office. In these circumstances the GST is recognised as part of the cost of acquisition of the asset or as part of an item of the expense. Receivables and payables in the balance sheet are shown inclusive of GST.</t>
  </si>
  <si>
    <t>Inventories held for distribution</t>
  </si>
  <si>
    <t>AASB 7</t>
  </si>
  <si>
    <t>Infringements and costs</t>
  </si>
  <si>
    <t>Parking infringement system developed in-house</t>
  </si>
  <si>
    <t>Certification of the Financial Report</t>
  </si>
  <si>
    <t>Note</t>
  </si>
  <si>
    <t>Rates</t>
  </si>
  <si>
    <t>Act</t>
  </si>
  <si>
    <t>Rate used to capitalise finance costs</t>
  </si>
  <si>
    <t>Right click on the name of this sheet and click 'Select All Sheets'.</t>
  </si>
  <si>
    <t xml:space="preserve">Hold down Control key and deselect any worksheets you do not wish to be included in the numbering, </t>
  </si>
  <si>
    <t>File &gt; Print &gt; ensure correct printer is selected and click PRINT.</t>
  </si>
  <si>
    <t>Less accumulated amortisation</t>
  </si>
  <si>
    <t>Town planning fees</t>
  </si>
  <si>
    <t>The table below discloses the impact on net operating result and equity for each category of financial instruments held by Council at year-end, if the above movements were to occur.</t>
  </si>
  <si>
    <t>84(2)(b)</t>
  </si>
  <si>
    <t>84(3)</t>
  </si>
  <si>
    <t>84(2)(d)</t>
  </si>
  <si>
    <t>In the determination of whether an asset or liability is current or non-current, consideration is given to the time when each asset or liability is expected to be settled.  The asset or liability is classified as current if it is expected to be settled within the next twelve months, being Council's operational cycle, or if Council does not have an unconditional right to defer settlement of a liability for at least 12 months after the reporting date.</t>
  </si>
  <si>
    <t>Floating interest
 rate</t>
  </si>
  <si>
    <t>Parking</t>
  </si>
  <si>
    <t>Financial Report</t>
  </si>
  <si>
    <t>Notes to the Financial Report</t>
  </si>
  <si>
    <t>Personnel responsible for preparing the Council's statutory financial report should ensure that, 
as a minimum, the following steps are followed in preparing the financial statements.</t>
  </si>
  <si>
    <t>Decrease/(increase) in other assets</t>
  </si>
  <si>
    <t>Decrease/(increase) in trade and other receivables</t>
  </si>
  <si>
    <t>Decrease/(increase) in inventories</t>
  </si>
  <si>
    <t>Increase/(decrease) in other liabilities</t>
  </si>
  <si>
    <t>Increase/(decrease) in provisions</t>
  </si>
  <si>
    <t xml:space="preserve">Council is presently involved in several confidential legal matters, which are being conducted through Council's solicitors.  </t>
  </si>
  <si>
    <t xml:space="preserve"> - we only invest surplus funds with financial institutions which have a recognised credit rating specified in our Investment policy.</t>
  </si>
  <si>
    <t>Impairment of debts</t>
  </si>
  <si>
    <t>Cash flows are presented in the Statement of Cash Flows on a gross basis, except for the GST component of investing and financing activities, which are disclosed as operating cash flows.</t>
  </si>
  <si>
    <t>Capital grants received specifically for new or upgraded assets</t>
  </si>
  <si>
    <t>Balance at beginning of the financial year</t>
  </si>
  <si>
    <t>Net cash provided by (used in) investing activities</t>
  </si>
  <si>
    <t>Tender deposits</t>
  </si>
  <si>
    <t>Reconciliation of cash and cash equivalents</t>
  </si>
  <si>
    <t>Investment property</t>
  </si>
  <si>
    <t>Balance at beginning of financial year</t>
  </si>
  <si>
    <t>Acquisitions</t>
  </si>
  <si>
    <t>Disposals</t>
  </si>
  <si>
    <t>Payments for investment property</t>
  </si>
  <si>
    <t>Straight line depreciation is charged based on the residual useful life as determined each year.</t>
  </si>
  <si>
    <t>(f)</t>
  </si>
  <si>
    <t>Council Name</t>
  </si>
  <si>
    <t>82(c)</t>
  </si>
  <si>
    <t>Software developed in-house</t>
  </si>
  <si>
    <t>Total Works in progress</t>
  </si>
  <si>
    <t>PRINTING INSTRUCTIONS</t>
  </si>
  <si>
    <t>Non-current</t>
  </si>
  <si>
    <t>Reconciliation of cash flows from operating activities to surplus (deficit)</t>
  </si>
  <si>
    <t>Special committees and other activities</t>
  </si>
  <si>
    <t>Transfers</t>
  </si>
  <si>
    <t xml:space="preserve"> Certification of the Financial Report</t>
  </si>
  <si>
    <t>Trades and other receivables</t>
  </si>
  <si>
    <t>Government and administration</t>
  </si>
  <si>
    <t>&lt;insert here&gt;</t>
  </si>
  <si>
    <t xml:space="preserve">  &lt;List relevant assets and liabilities eg site restoration costs&gt;</t>
  </si>
  <si>
    <t xml:space="preserve"> 101, 116</t>
  </si>
  <si>
    <t>Plant and equipment maintenance</t>
  </si>
  <si>
    <t>Utilities</t>
  </si>
  <si>
    <t>Consultants</t>
  </si>
  <si>
    <t>Total works in progress</t>
  </si>
  <si>
    <t xml:space="preserve"> - ensuring access to diverse sources of funding;</t>
  </si>
  <si>
    <t>Parking fine debtors</t>
  </si>
  <si>
    <t>Balance at end of financial year</t>
  </si>
  <si>
    <t>Drainage</t>
  </si>
  <si>
    <t>As these matters are yet to be finalised, and the financial outcomes are unable to be reliably estimated, no allowance for these contingencies has been made in the financial report.</t>
  </si>
  <si>
    <t>Fixed interest maturing in:</t>
  </si>
  <si>
    <t>Financial assets</t>
  </si>
  <si>
    <t>Weighted average interest rate</t>
  </si>
  <si>
    <t>Financial liabilities</t>
  </si>
  <si>
    <t>Net financial assets (liabilities)</t>
  </si>
  <si>
    <t>The aggregate net fair values of financial assets and financial liabilities, both recognised and unrecognised, at balance date are as follows:</t>
  </si>
  <si>
    <t>Workers compensation</t>
  </si>
  <si>
    <t>Ageing of Trade and Other Receivables</t>
  </si>
  <si>
    <t>Current (not yet due)</t>
  </si>
  <si>
    <t>Past due by up to 30 days</t>
  </si>
  <si>
    <t>Past due between 31 and 180 days</t>
  </si>
  <si>
    <t>Past due between 181 and 365 days</t>
  </si>
  <si>
    <t>Past due by more than 1 year</t>
  </si>
  <si>
    <t>Total Trade &amp; Other Receivables</t>
  </si>
  <si>
    <t>Ageing of individually impaired Trade and Other Receivables</t>
  </si>
  <si>
    <t>The ageing of Trade and Other Receivables that have been individually determined as impaired at reporting date was:</t>
  </si>
  <si>
    <t>Liquidity risk includes the risk that, as a result of our operational liquidity requirements:</t>
  </si>
  <si>
    <t xml:space="preserve"> - we will not have sufficient funds to settle a transaction on the date;</t>
  </si>
  <si>
    <t xml:space="preserve"> - we will be forced to sell financial assets at a value which is less than what they are worth; or</t>
  </si>
  <si>
    <t xml:space="preserve"> - we may be unable to settle or recover a financial assets at all.</t>
  </si>
  <si>
    <t>To help reduce these risks we:</t>
  </si>
  <si>
    <t xml:space="preserve"> - have a liquidity policy which targets a minimum and average level of cash and cash equivalents to be maintained;</t>
  </si>
  <si>
    <t xml:space="preserve"> - have readily accessible standby facilities and other funding arrangements in place;</t>
  </si>
  <si>
    <t>Interest is recognised progressively as it is earned.</t>
  </si>
  <si>
    <t>Heritage plant and equipment</t>
  </si>
  <si>
    <t>Leased plant and equipment</t>
  </si>
  <si>
    <t>Off street car parks</t>
  </si>
  <si>
    <t>&lt;list other matters where appropriate&gt;</t>
  </si>
  <si>
    <t>All balance sheet accounts have been fully reconciled and are supported by appropriate schedules and/or reports which agree to the balance of the account per the final trial balance.  (Supporting documentation generally constitutes a schedule of the balances making up the total of the asset, liability or reserve account such as an accounts receivable trial balance, asset register or leave liability report by employee.  A reconciliation of the movement in an account during a given period, such as the current year, or last month, does not constitute appropriate supporting documentation.)  Separate and specific supporting documentation must be provided for disclosures not sourced directly from the trial balance such as cash flow disclosures, lease liabilities, capital commitments, superannuation etc.</t>
  </si>
  <si>
    <t>Homeless support</t>
  </si>
  <si>
    <t>Investments in associates accounted for by the equity method are:</t>
  </si>
  <si>
    <t>Distributions for the year</t>
  </si>
  <si>
    <t>Less accumulated depreciation</t>
  </si>
  <si>
    <t>Accrued expenses</t>
  </si>
  <si>
    <t>Refundable building deposits</t>
  </si>
  <si>
    <t>Refundable contract deposits</t>
  </si>
  <si>
    <t>Refundable tender deposits</t>
  </si>
  <si>
    <t>Refundable civic facilities deposits</t>
  </si>
  <si>
    <t>Retention amounts</t>
  </si>
  <si>
    <t>Judgements and Assumptions</t>
  </si>
  <si>
    <t>Threshold</t>
  </si>
  <si>
    <t>Surplus/
(Deficit)</t>
  </si>
  <si>
    <t>Level 1</t>
  </si>
  <si>
    <t>Level 3</t>
  </si>
  <si>
    <t>Share of net profits/(losses) of associates and joint ventures accounted for by the equity method</t>
  </si>
  <si>
    <t>Total contributions</t>
  </si>
  <si>
    <t>Total other income</t>
  </si>
  <si>
    <t>Total employee benefits</t>
  </si>
  <si>
    <t>Total materials and services</t>
  </si>
  <si>
    <t>Total depreciation and amortisation</t>
  </si>
  <si>
    <t>Total finance costs</t>
  </si>
  <si>
    <t>Total other expenses</t>
  </si>
  <si>
    <t>Total cash and cash equivalents</t>
  </si>
  <si>
    <t>Total trade and other receivables</t>
  </si>
  <si>
    <t>Total inventories</t>
  </si>
  <si>
    <t>Total intangible assets</t>
  </si>
  <si>
    <t>Total trade and other payables</t>
  </si>
  <si>
    <t>Total trust funds and deposits</t>
  </si>
  <si>
    <t>Total reconciliation of cash and cash equivalents</t>
  </si>
  <si>
    <t>&lt;list material items&gt;</t>
  </si>
  <si>
    <t>&lt;List items&gt;</t>
  </si>
  <si>
    <t>Discussions are held with the auditor to ensure agreement as to the nature of supporting documentation to be provided, form of documentation (hard and/or soft copy), identification (and issue) of required confirmation and representation letters and timing of provision.</t>
  </si>
  <si>
    <t>Yes</t>
  </si>
  <si>
    <t>No</t>
  </si>
  <si>
    <t>All changes to accounting policies which have resulted in material changes, or will result in material changes in future years, are fully disclosed in the notes to the accounts, including the expected financial impact of the changes</t>
  </si>
  <si>
    <t>&lt;Insert details, including of entities not included in the financial report&gt;</t>
  </si>
  <si>
    <t>Cash flows from investing activities</t>
  </si>
  <si>
    <t>Net cash provided by (used in) financing activities</t>
  </si>
  <si>
    <t>Prepayments</t>
  </si>
  <si>
    <t>Reserves</t>
  </si>
  <si>
    <t xml:space="preserve">Superannuation </t>
  </si>
  <si>
    <t>Other comprehensive income</t>
  </si>
  <si>
    <t>93B</t>
  </si>
  <si>
    <t>Fair value adjustments for financial assets at fair value</t>
  </si>
  <si>
    <t xml:space="preserve">  -  &lt;&gt; other</t>
  </si>
  <si>
    <t>&lt;&gt; other</t>
  </si>
  <si>
    <t>Events occurring after balance date</t>
  </si>
  <si>
    <t>Other financial assets</t>
  </si>
  <si>
    <t>Accumulated surplus</t>
  </si>
  <si>
    <t>Payments to suppliers (inclusive of GST)</t>
  </si>
  <si>
    <t>Period</t>
  </si>
  <si>
    <t>Other Comprehensive Income:</t>
  </si>
  <si>
    <t>Share of other comprehensive income of associates &amp; joint ventures accounted for by the equity method</t>
  </si>
  <si>
    <t xml:space="preserve">Transfers between reserves </t>
  </si>
  <si>
    <t>Total capital grants</t>
  </si>
  <si>
    <t>&lt;Councils should review processes for LUR to ensure it is appropriately brought to account.  Talk to your audit team if necessary&gt;</t>
  </si>
  <si>
    <t>In drafting the financial report, the preparer should always consider the need for additional disclosures to be made in the event of large or significant items or issues arising.  Preparers should be mindful that these model accounts are generic and cannot take into account all possible disclosures that may need to be made.</t>
  </si>
  <si>
    <t>The financial report is based on the current/final trial balance;</t>
  </si>
  <si>
    <t>The preparer has reviewed the financial report thoroughly and can provide an explanation of the reasons for all material movements in balances (revenues, expenses, assets, liabilities and reserves) between the current and prior year (and any material differences between the budget and actual results).</t>
  </si>
  <si>
    <t>Comparatives have been agreed to the previous year's financial report, or where amended have been prepared on the same basis as the current year and if the basis of preparation results in material changes to comparative figures there is disclosure of the change.</t>
  </si>
  <si>
    <t>The asset revaluation reserve was established to capture the movements in asset valuations upon the periodic revaluation of Council's assets.</t>
  </si>
  <si>
    <t>Other infrastructure &lt;insert details&gt;</t>
  </si>
  <si>
    <t xml:space="preserve">Increment </t>
  </si>
  <si>
    <t>Less capitalised borrowing costs on qualifying assets</t>
  </si>
  <si>
    <t>Investment in associates</t>
  </si>
  <si>
    <t>Parking infringement debtors</t>
  </si>
  <si>
    <t>Money market call account</t>
  </si>
  <si>
    <t>Managed funds are held with &lt;&gt; and are represented by:</t>
  </si>
  <si>
    <t>at cost</t>
  </si>
  <si>
    <t>Balance at
beginning of financial year</t>
  </si>
  <si>
    <t>Revaluation
increments (decrements)</t>
  </si>
  <si>
    <t xml:space="preserve">Depreciation and
amortisation </t>
  </si>
  <si>
    <t>Property</t>
  </si>
  <si>
    <t>Heritage buildings</t>
  </si>
  <si>
    <t>Total Infrastructure</t>
  </si>
  <si>
    <t>Total Property</t>
  </si>
  <si>
    <t>User charges and other fines (inclusive of GST)</t>
  </si>
  <si>
    <t>Other &lt;insert details&gt;</t>
  </si>
  <si>
    <t xml:space="preserve"> - reducing risks of refinancing by managing in accordance with target maturity profiles; and</t>
  </si>
  <si>
    <t xml:space="preserve"> - setting prudential limits on interest repayments as a percentage of rate revenue.</t>
  </si>
  <si>
    <t xml:space="preserve"> - conformity with State and Federal regulations and standards,</t>
  </si>
  <si>
    <t xml:space="preserve"> - capital protection,</t>
  </si>
  <si>
    <t xml:space="preserve"> - appropriate liquidity,</t>
  </si>
  <si>
    <t xml:space="preserve"> - diversification by credit rating, financial institution and investment product,</t>
  </si>
  <si>
    <t xml:space="preserve"> - monitoring of return on investment,</t>
  </si>
  <si>
    <t xml:space="preserve"> - benchmarking of returns and comparison with budget.</t>
  </si>
  <si>
    <t>Maturity will be staggered to provide for interest rate variations and to minimise interest rate risk.</t>
  </si>
  <si>
    <t>Note 4</t>
  </si>
  <si>
    <t>Note 6</t>
  </si>
  <si>
    <t>Note 7</t>
  </si>
  <si>
    <t>Note 8</t>
  </si>
  <si>
    <t>Note 9</t>
  </si>
  <si>
    <t>Date :</t>
  </si>
  <si>
    <t>(Type name of Council)</t>
  </si>
  <si>
    <t>Contingent assets</t>
  </si>
  <si>
    <t>Garbage charge</t>
  </si>
  <si>
    <t xml:space="preserve">Bridges </t>
  </si>
  <si>
    <t>Buildings at cost</t>
  </si>
  <si>
    <t>Roads at cost</t>
  </si>
  <si>
    <t>Bridges at cost</t>
  </si>
  <si>
    <t>Total Plant and Equipment</t>
  </si>
  <si>
    <t>STATUTORY FINANCIAL STATEMENTS</t>
  </si>
  <si>
    <t>PREPARATION CHECKLIST</t>
  </si>
  <si>
    <t>All balance sheet account reconciliations should be signed and dated by both the person who prepared the reconciliation and the person who reviewed and approved the reconciliation.</t>
  </si>
  <si>
    <t>Before submitting the draft financial statements for review (and in particular prior to presenting to the auditors) the following proofing has been completed:</t>
  </si>
  <si>
    <t>All adds and calculations have been checked;</t>
  </si>
  <si>
    <t>All cross references within the financial statements have been verified;</t>
  </si>
  <si>
    <t>Contributions - cash</t>
  </si>
  <si>
    <t>Payments for property, infrastructure, plant and equipment</t>
  </si>
  <si>
    <t>Proceeds from sale of property, infrastructure, plant and equipment</t>
  </si>
  <si>
    <t>Total rates and charges</t>
  </si>
  <si>
    <t xml:space="preserve">this is done by clicking on the tab which displays the name of the worksheet </t>
  </si>
  <si>
    <t>(b) Land fill restoration</t>
  </si>
  <si>
    <t>All totals within statements which cross reference to other statements or to the notes to the accounts have been agreed and rounding errors eliminated;</t>
  </si>
  <si>
    <t>Net increase (decrease) in cash and cash equivalents</t>
  </si>
  <si>
    <t>&lt;brief explanation of entity and Council's share in its ownership&gt;</t>
  </si>
  <si>
    <t>LGA 1993</t>
  </si>
  <si>
    <t>OR</t>
  </si>
  <si>
    <t>The amount disclosed for financial guarantee in this note is the nominal amount of the underlying loan that is guaranteed by Council, not the fair value of the financial guarantee.</t>
  </si>
  <si>
    <t>Contingent liabilities</t>
  </si>
  <si>
    <t xml:space="preserve"> - have a liquidity portfolio structure that requires surplus funds to be invested within various bands of liquid instruments;</t>
  </si>
  <si>
    <t xml:space="preserve"> - monitor budget to actual performance on a regular basis; and</t>
  </si>
  <si>
    <t xml:space="preserve"> - set limits on borrowings relating to the percentage of loans to rate revenue and percentage of loan principal repayments to rate revenue.</t>
  </si>
  <si>
    <t>6 mths</t>
  </si>
  <si>
    <t>6-12</t>
  </si>
  <si>
    <t>1-2</t>
  </si>
  <si>
    <t>2-5</t>
  </si>
  <si>
    <t>&gt;5</t>
  </si>
  <si>
    <t>Contracted</t>
  </si>
  <si>
    <t>Carrying</t>
  </si>
  <si>
    <t>or less</t>
  </si>
  <si>
    <t>months</t>
  </si>
  <si>
    <t>years</t>
  </si>
  <si>
    <t>Cash Flow</t>
  </si>
  <si>
    <t>Amount</t>
  </si>
  <si>
    <t>Fees - parking meters</t>
  </si>
  <si>
    <t>Leisure centre fees</t>
  </si>
  <si>
    <t>Child care/children's program fees</t>
  </si>
  <si>
    <t>Aged services fees</t>
  </si>
  <si>
    <t>Registration fees</t>
  </si>
  <si>
    <t>Net cash provided by/(used in) operating activities</t>
  </si>
  <si>
    <t>Building services fees</t>
  </si>
  <si>
    <t>Valuation fees/supplementary charges</t>
  </si>
  <si>
    <t>Land information certificates</t>
  </si>
  <si>
    <t>Other fees and charges</t>
  </si>
  <si>
    <t>The page numbers are automatically generated and the file is ready to be printed.</t>
  </si>
  <si>
    <t>The next step is to go back and print any additional pages not previously selected for numbering.</t>
  </si>
  <si>
    <t>Change in fair value of investment</t>
  </si>
  <si>
    <t>(If applicable)</t>
  </si>
  <si>
    <t>Reported surplus(deficit) for year</t>
  </si>
  <si>
    <t>Community day care</t>
  </si>
  <si>
    <t>Special rates and charges</t>
  </si>
  <si>
    <t>Investment property rental</t>
  </si>
  <si>
    <t>Building improvements</t>
  </si>
  <si>
    <t>Plant, machinery and equipment</t>
  </si>
  <si>
    <t>Computers and telecommunications</t>
  </si>
  <si>
    <t>Fixtures, fittings and furniture</t>
  </si>
  <si>
    <t xml:space="preserve">Total Other reserves </t>
  </si>
  <si>
    <t>Total financial assets</t>
  </si>
  <si>
    <t>Total financial liabilities</t>
  </si>
  <si>
    <t>Taxation</t>
  </si>
  <si>
    <t>(Update to previous year as required)</t>
  </si>
  <si>
    <t>(Update to two years as required)</t>
  </si>
  <si>
    <t>Insert details here</t>
  </si>
  <si>
    <t>Investment in water corporation</t>
  </si>
  <si>
    <t>Reimbursements (inclusive of GST)</t>
  </si>
  <si>
    <t>Total infrastructure</t>
  </si>
  <si>
    <t>Total Buildings</t>
  </si>
  <si>
    <t>Supplementary rates and rate adjustments</t>
  </si>
  <si>
    <t>(a) Cash</t>
  </si>
  <si>
    <t>(b) Non-monetary assets</t>
  </si>
  <si>
    <t>Contingent liabilities and contingent assets</t>
  </si>
  <si>
    <t>Inventories</t>
  </si>
  <si>
    <t>Defined benefit superannuation fund obligations</t>
  </si>
  <si>
    <t>Employee entitlements</t>
  </si>
  <si>
    <t>Landfill restoration</t>
  </si>
  <si>
    <t>Additional provisions</t>
  </si>
  <si>
    <t>Amounts used</t>
  </si>
  <si>
    <t>Increase in the discounted amount arising because of time and the effect of any change in the discount rate</t>
  </si>
  <si>
    <t>Balance at the end of the financial year</t>
  </si>
  <si>
    <t>(Update year as required)</t>
  </si>
  <si>
    <t>(Update years as required)</t>
  </si>
  <si>
    <t>(Use either $'000 or $ in column headings by typing here)</t>
  </si>
  <si>
    <t>Depreciation/amortisation</t>
  </si>
  <si>
    <t>Allocation between current and non-current</t>
  </si>
  <si>
    <t>Accounting for investments in associates</t>
  </si>
  <si>
    <t>Reversals of impairment losses</t>
  </si>
  <si>
    <t>Interest</t>
  </si>
  <si>
    <t>FINANCIAL REPORT</t>
  </si>
  <si>
    <t>Page</t>
  </si>
  <si>
    <t>Wages and salaries</t>
  </si>
  <si>
    <t>Redundancy</t>
  </si>
  <si>
    <t>Other debtors</t>
  </si>
  <si>
    <t>Other expenses</t>
  </si>
  <si>
    <t>Bank overdraft charges</t>
  </si>
  <si>
    <t>Total plant and equipment</t>
  </si>
  <si>
    <t>Written down value of 
disposals</t>
  </si>
  <si>
    <t>Parks, open space and streetscapes</t>
  </si>
  <si>
    <t>We manage the interest rate exposure on our debt portfolio by appropriate budgeting strategies and obtaining approval for borrowings from the Department of Treasury and Finance each year.</t>
  </si>
  <si>
    <t>AAI 1031</t>
  </si>
  <si>
    <t>AAI 1055</t>
  </si>
  <si>
    <t>Commitments</t>
  </si>
  <si>
    <t>Expenses</t>
  </si>
  <si>
    <t>Assets</t>
  </si>
  <si>
    <t>Summary</t>
  </si>
  <si>
    <t>Cash on hand</t>
  </si>
  <si>
    <t>Current</t>
  </si>
  <si>
    <t>Superannuation</t>
  </si>
  <si>
    <t>Contributions</t>
  </si>
  <si>
    <t>Not later than one year</t>
  </si>
  <si>
    <t>Later than one year and not later than five years</t>
  </si>
  <si>
    <t>Footpaths and cycleways</t>
  </si>
  <si>
    <t>Recreational, leisure and community facilities</t>
  </si>
  <si>
    <t>Impairment losses</t>
  </si>
  <si>
    <t>Revenue</t>
  </si>
  <si>
    <t>User Changes</t>
  </si>
  <si>
    <t>Total Revenue</t>
  </si>
  <si>
    <t>Expenditure</t>
  </si>
  <si>
    <t>Direct</t>
  </si>
  <si>
    <t>Employee Costs</t>
  </si>
  <si>
    <t>Materials and Contacts</t>
  </si>
  <si>
    <t>Indirect</t>
  </si>
  <si>
    <t>Engineering &amp; Administration</t>
  </si>
  <si>
    <t>Total Expenses</t>
  </si>
  <si>
    <t>Notional cost of free services received</t>
  </si>
  <si>
    <t>Capital Costs</t>
  </si>
  <si>
    <t>Opportunity cost of capital</t>
  </si>
  <si>
    <t>Total Capital Costs</t>
  </si>
  <si>
    <t>Competitive neutrality adjustments</t>
  </si>
  <si>
    <t>Rates and land tax</t>
  </si>
  <si>
    <t>Loan guarantee fees</t>
  </si>
  <si>
    <t>Calculated Surplus/(Deficit)</t>
  </si>
  <si>
    <t>Tax Equivalent rate</t>
  </si>
  <si>
    <t>Taxation equivalent</t>
  </si>
  <si>
    <t>Bridges</t>
  </si>
  <si>
    <t>Leases</t>
  </si>
  <si>
    <t>Grants</t>
  </si>
  <si>
    <t>Residential</t>
  </si>
  <si>
    <t>Commercial</t>
  </si>
  <si>
    <t>Industrial</t>
  </si>
  <si>
    <t>Permits</t>
  </si>
  <si>
    <t>1 year or less</t>
  </si>
  <si>
    <t>Over 1 to 5 years</t>
  </si>
  <si>
    <t>More than 5 years</t>
  </si>
  <si>
    <t>checked</t>
  </si>
  <si>
    <t>Non-interest bearing</t>
  </si>
  <si>
    <t>Council's share of reserves at end of year</t>
  </si>
  <si>
    <t>Carrying value of investment at end of year</t>
  </si>
  <si>
    <t xml:space="preserve">Net cash provided by (used in) operating activities </t>
  </si>
  <si>
    <t>101, 108</t>
  </si>
  <si>
    <t>Interest bearing loans and borrowings</t>
  </si>
  <si>
    <t>Increase/(decrease) in trade and other payables</t>
  </si>
  <si>
    <t>&lt;&gt; waste management group</t>
  </si>
  <si>
    <t>Background</t>
  </si>
  <si>
    <t>Council's share of reserves</t>
  </si>
  <si>
    <t>Movement in carrying value of specific investment</t>
  </si>
  <si>
    <t>Council's share of expenditure commitments</t>
  </si>
  <si>
    <t>Balance at end of the financial year</t>
  </si>
  <si>
    <t>Financial instruments</t>
  </si>
  <si>
    <t>Related party transactions</t>
  </si>
  <si>
    <t>Other payments</t>
  </si>
  <si>
    <t>Restrictions on cash assets</t>
  </si>
  <si>
    <t>&lt;List items &gt;</t>
  </si>
  <si>
    <t>Councillors' allowances</t>
  </si>
  <si>
    <t>Contract payments</t>
  </si>
  <si>
    <t>Building maintenance</t>
  </si>
  <si>
    <t>Farm/Rural</t>
  </si>
  <si>
    <t>Construction, maintenance and cleaning of road, streets, footpaths, bridges, parking facilities and street lighting.</t>
  </si>
  <si>
    <t>84(2)(da)</t>
  </si>
  <si>
    <t>Aged care bed licenses</t>
  </si>
  <si>
    <t>licenses</t>
  </si>
  <si>
    <t>36(b,c)</t>
  </si>
  <si>
    <t>Other assets</t>
  </si>
  <si>
    <t>Intangible assets</t>
  </si>
  <si>
    <t>(g)</t>
  </si>
  <si>
    <t>The profit or loss on sale of an asset is determined when control of the asset has irrevocably passed to the buyer.</t>
  </si>
  <si>
    <t>&lt;where useful lives have changed compared to the prior year, disclose the change and its financial impact&gt;</t>
  </si>
  <si>
    <t>Select the worksheet 'Stat' of Comprehensive Income' which is page 1.</t>
  </si>
  <si>
    <t>54(i)</t>
  </si>
  <si>
    <t>54(h)</t>
  </si>
  <si>
    <t>54(d)</t>
  </si>
  <si>
    <t>54(g)</t>
  </si>
  <si>
    <t>54(j) (38)</t>
  </si>
  <si>
    <t>54(e)</t>
  </si>
  <si>
    <t>54(a)</t>
  </si>
  <si>
    <t>54(b)</t>
  </si>
  <si>
    <t>54(c)</t>
  </si>
  <si>
    <t>54(k)</t>
  </si>
  <si>
    <t>54(m)</t>
  </si>
  <si>
    <t>54(q)</t>
  </si>
  <si>
    <t>106(d)(i)</t>
  </si>
  <si>
    <t>106(d)(ii)</t>
  </si>
  <si>
    <t>106(b) / 42</t>
  </si>
  <si>
    <t>82(a)</t>
  </si>
  <si>
    <t>101, 1004</t>
  </si>
  <si>
    <t>82(b)</t>
  </si>
  <si>
    <t>20(a)(i)</t>
  </si>
  <si>
    <t>10(d)</t>
  </si>
  <si>
    <t>10,11</t>
  </si>
  <si>
    <t>14(d)</t>
  </si>
  <si>
    <t>138(a)</t>
  </si>
  <si>
    <t>138(b)</t>
  </si>
  <si>
    <t>35(b)</t>
  </si>
  <si>
    <t>6,7,8</t>
  </si>
  <si>
    <t>26(a)</t>
  </si>
  <si>
    <t>Council recognised the value of land under roads it controls at fair value.</t>
  </si>
  <si>
    <t>(Disclose the purposes for which trust funds and deposits are held and the nature of any restriction imposed on the manner in which these can be applied)</t>
  </si>
  <si>
    <t>10,14,128</t>
  </si>
  <si>
    <t>8,10</t>
  </si>
  <si>
    <t>6, 8</t>
  </si>
  <si>
    <t>LGA</t>
  </si>
  <si>
    <t>State Grants</t>
  </si>
  <si>
    <t>Commonwealth Government - training subsidy</t>
  </si>
  <si>
    <t>30,41</t>
  </si>
  <si>
    <t>112(c)</t>
  </si>
  <si>
    <t>LGBMP</t>
  </si>
  <si>
    <t>AASB</t>
  </si>
  <si>
    <t>Contractual commitments</t>
  </si>
  <si>
    <t>Cleaning contractors</t>
  </si>
  <si>
    <t xml:space="preserve">Plant and equipment </t>
  </si>
  <si>
    <t xml:space="preserve">Intangible assets </t>
  </si>
  <si>
    <t>Share of associates and equity accounted jointly controlled entities’ capital commitments</t>
  </si>
  <si>
    <t>Share of jointly controlled entities’ capital commitments</t>
  </si>
  <si>
    <t>Capital Expenditure Commitments</t>
  </si>
  <si>
    <t>Contractual commitments at end of financial year but not recognised in the financial report are as follows:</t>
  </si>
  <si>
    <t>Fire Levy</t>
  </si>
  <si>
    <t>Interest bearing liabilities</t>
  </si>
  <si>
    <t>Council has reclassified the following financial assets</t>
  </si>
  <si>
    <t>12a,b</t>
  </si>
  <si>
    <t>At cost or amortised cost, rather than at fair value</t>
  </si>
  <si>
    <t>At fair value, rather than at cost or amortised cost</t>
  </si>
  <si>
    <t>Derecognition of Financial Assets</t>
  </si>
  <si>
    <t>42(A-H)</t>
  </si>
  <si>
    <t>&lt;&lt;If Applicable&gt;&gt;</t>
  </si>
  <si>
    <t>Material Budget Variations</t>
  </si>
  <si>
    <t>84. Financial statements</t>
  </si>
  <si>
    <t>Revenues</t>
  </si>
  <si>
    <t>Other revenues</t>
  </si>
  <si>
    <t>Impairment of $XXX,XXX for a significant debtor was not budgeted for as it arose from an unforeseen circumstance – the impact of which was unknown at the time of setting the budget.</t>
  </si>
  <si>
    <t>The increase of $xxx,xxx on budget (XX%) was due to parking fines and building services fees being inadvertently excluded from the budget.</t>
  </si>
  <si>
    <t>The decrease of $xxx,xxx on budget (XX%) was due to major plant and equipment maintenance that was included in the budget, being delayed as key servicing parts were not available.</t>
  </si>
  <si>
    <t>(c) contain a comparison between the council's actual and estimated revenue and expenditure for that financial year; and</t>
  </si>
  <si>
    <t>Not Mandatory</t>
  </si>
  <si>
    <t xml:space="preserve">Council has made no assumptions concerning the future that may cause a material adjustment to the carrying amounts of assets and liabilities within the next reporting period.  Judgements made by Council that have significant effects on the financial report are disclosed in the relevant notes as follows: </t>
  </si>
  <si>
    <t>Contingent assets, contingent liabilities and commitments</t>
  </si>
  <si>
    <t>Employee benefits include, where applicable, entitlements to wages and salaries, annual leave, sick leave, long service leave, superannuation and any other post-employment benefits.</t>
  </si>
  <si>
    <t>73b (118b)</t>
  </si>
  <si>
    <t>&lt;&lt;The non-depreciation of road earthwork assets shall be reviewed at least at the end of each reporting period, to ensure that the accounting policy applied to particular earthwork assets reflects the most recent assessment of the useful lives of the assets, having regard to factors such as asset usage, physical deterioration and technical and commercial obsolescence.&gt;&gt;</t>
  </si>
  <si>
    <t>Other Infrastructure</t>
  </si>
  <si>
    <t>Rates and charges in advance</t>
  </si>
  <si>
    <t>Fringe benefits tax</t>
  </si>
  <si>
    <t>Interest on financial assets</t>
  </si>
  <si>
    <t>Dividend revenue received</t>
  </si>
  <si>
    <t>Tax equivalent received</t>
  </si>
  <si>
    <t>Guarantee fee received</t>
  </si>
  <si>
    <t>&lt;Total Investment Revenue from the water corporation should normally reflect actual cash received in the Statement of Cash Flows.&gt;</t>
  </si>
  <si>
    <t>Impairment of receivables</t>
  </si>
  <si>
    <t>Total impairment of receivables</t>
  </si>
  <si>
    <t>Other (insert details)</t>
  </si>
  <si>
    <t>Reconciliation of intangible assets</t>
  </si>
  <si>
    <t>Landfill / Tip Rehabilitation</t>
  </si>
  <si>
    <t>Total asset revaluation reserve</t>
  </si>
  <si>
    <t>(a) Asset revaluation reserve</t>
  </si>
  <si>
    <t>(b) Fair value reserve</t>
  </si>
  <si>
    <t>Total fair value reserve</t>
  </si>
  <si>
    <t>Balance at
beginning of reporting year</t>
  </si>
  <si>
    <t>Balance at end of reporting year</t>
  </si>
  <si>
    <t>Total contractual commitments</t>
  </si>
  <si>
    <t>Total Capital expenditure commitments</t>
  </si>
  <si>
    <t>Check</t>
  </si>
  <si>
    <t>84c?</t>
  </si>
  <si>
    <t>Revenue income up $XXX,XXX on budget (42%) due mainly to a very conservative estimate being made for interest in the budget. Planned capital expenditures were delayed resulting in additional monies being available for investment.</t>
  </si>
  <si>
    <t>Revenue was up $2xx,xxx on budget (xx%) due mainly to a very conservative estimate being made in the budget. Significant supplementary valuations during the year included the early completion of major building works, resulted in additional rates and charges.</t>
  </si>
  <si>
    <t>at fair value as at 30 June</t>
  </si>
  <si>
    <t xml:space="preserve">at fair value as at 30 June </t>
  </si>
  <si>
    <t>&lt;&lt;Where Council has transferred any financial assets in such a way that part or all of the transferred assets do not qualify for derecognition, Councils need to disclose additional information at each reporting date for each class of transferred financial asset that are not derecognised in their entirety.  Refer to AASB7.42(A-H)  for disclosure information and consult with your audit team&gt;&gt;.</t>
  </si>
  <si>
    <t>Actuarial gain/loss on defined benefits plans</t>
  </si>
  <si>
    <t>Council is exempt from all forms of taxation except Fringe Benefits Tax, Payroll Tax and the Goods and Services Tax.</t>
  </si>
  <si>
    <t>Contingent assets and contingent liabilities are not recognised in the Statement of Financial Position, but are disclosed by way of a note and, if quantifiable, are measured at nominal value. Contingent assets and liabilities are presented inclusive of GST receivable or payable respectively.</t>
  </si>
  <si>
    <t>Operation and maintenance of council chambers, administration offices, and councillors.</t>
  </si>
  <si>
    <t xml:space="preserve">Revenue, expenditure and assets attributable to each function as categorised in (c) below: </t>
  </si>
  <si>
    <t>Weighted average interest rate - is by each type, or line item, of Financial Asset/Liability as at 30 June, not an average for the year, or by column which would mix classes.</t>
  </si>
  <si>
    <t>Reclassification of Financial Assets</t>
  </si>
  <si>
    <t>The maximum exposure to credit risk at balance date in relation to each class of recognised financial asset is represented by the carrying amount of those assets as indicated in the Statement of Financial Position.</t>
  </si>
  <si>
    <t>Credit risk is the risk that a contracting entity will not complete its obligations under a financial instrument and cause Council to make a financial loss. Council have exposure to credit risk on some financial assets included in our Statement of Financial Position. To help manage this risk:</t>
  </si>
  <si>
    <t xml:space="preserve">Credit risk arises from Council's financial assets, which comprise cash and cash equivalents, and trade and other receivables. Council's exposure to credit risk arises from potential default of the counterparty, with a maximum exposure equal to the carrying amount of these instruments. Exposure at balance date is addressed in each applicable policy note.  Council generally trades with recognised, creditworthy third parties, and as such collateral is generally not requested, nor is it Council's policy to securitise its trade and other receivables.
It is Council's policy that some customers who wish to trade on credit terms are subject to credit verification procedures including an assessment of their credit rating, financial position, past experience and industry reputation.
In addition, receivable balance are monitored on an ongoing basis with the result that Council's exposure to bad debts is not significant.
</t>
  </si>
  <si>
    <t>Credit quality of contractual financial assets that are neither past due nor impaired</t>
  </si>
  <si>
    <t>Financial Institutions</t>
  </si>
  <si>
    <t>The operating capital and competitive neutrality costs of the Council's significant business activities:</t>
  </si>
  <si>
    <t>External auditors' remuneration (Tasmanian Audit Office)</t>
  </si>
  <si>
    <t>Interest on cash and cash equivalents</t>
  </si>
  <si>
    <t>Less amounts capitalised</t>
  </si>
  <si>
    <t xml:space="preserve">Events occurring after balance date </t>
  </si>
  <si>
    <t xml:space="preserve">Note </t>
  </si>
  <si>
    <t xml:space="preserve">Interest </t>
  </si>
  <si>
    <t>Restricted funds</t>
  </si>
  <si>
    <t>&lt;&lt;Describe arrangements&gt;&gt;</t>
  </si>
  <si>
    <t>82A(a)</t>
  </si>
  <si>
    <t>82A(b)</t>
  </si>
  <si>
    <t>Total Other Comprehensive Income</t>
  </si>
  <si>
    <t>81A(c)</t>
  </si>
  <si>
    <t>82A</t>
  </si>
  <si>
    <t>106A</t>
  </si>
  <si>
    <t>Cash Flow Check</t>
  </si>
  <si>
    <t>(ii)</t>
  </si>
  <si>
    <t>Notes to the Financial Statements</t>
  </si>
  <si>
    <t>Commitments are not recognised in the Statement of Financial Position. Commitments are disclosed at their nominal value inclusive of the GST payable.</t>
  </si>
  <si>
    <t>LGAT 20(1) - Functions &amp; Powers</t>
  </si>
  <si>
    <t>- provide for the peace, order and good government in the municipality.</t>
  </si>
  <si>
    <t>- provide for health, safety and welfare of the community;</t>
  </si>
  <si>
    <t>- to represent and promote the interests of the community;</t>
  </si>
  <si>
    <t>Update Wording</t>
  </si>
  <si>
    <t>99/104</t>
  </si>
  <si>
    <t>99 / 18</t>
  </si>
  <si>
    <t>Capital income</t>
  </si>
  <si>
    <t xml:space="preserve"> </t>
  </si>
  <si>
    <t>update wording</t>
  </si>
  <si>
    <t>&lt;include relevant details&gt;</t>
  </si>
  <si>
    <t>Borrowings are secured over …</t>
  </si>
  <si>
    <t>These amounts represent the discounted cash flow payments (ie principal only).</t>
  </si>
  <si>
    <t>+1%</t>
  </si>
  <si>
    <t>The reason for the transfer was …(Provide a brief explanation for each transfer).</t>
  </si>
  <si>
    <t xml:space="preserve">Total recurrent grants </t>
  </si>
  <si>
    <t>Grants - Recurrent</t>
  </si>
  <si>
    <t>Other Defined Benefit Superannuation Funds</t>
  </si>
  <si>
    <t>&lt;insert relevant disclosures for defined benefit plan in according with AASB 119 paragraph 135 &gt;</t>
  </si>
  <si>
    <t>117(a)</t>
  </si>
  <si>
    <t>7 / 138</t>
  </si>
  <si>
    <t>84(2)(c)</t>
  </si>
  <si>
    <t>98(c )</t>
  </si>
  <si>
    <t>8(d)</t>
  </si>
  <si>
    <t>78(b)</t>
  </si>
  <si>
    <t>78(c  )</t>
  </si>
  <si>
    <t>75(e)</t>
  </si>
  <si>
    <t>54(k), 55</t>
  </si>
  <si>
    <t>106(d)</t>
  </si>
  <si>
    <t>74(c )</t>
  </si>
  <si>
    <t>75(h)</t>
  </si>
  <si>
    <t>122(e )</t>
  </si>
  <si>
    <t>40(a)</t>
  </si>
  <si>
    <t>AASB 7</t>
  </si>
  <si>
    <t>36(c )</t>
  </si>
  <si>
    <t>Management indicators</t>
  </si>
  <si>
    <t>Underlying surplus or deficit</t>
  </si>
  <si>
    <t>=</t>
  </si>
  <si>
    <t>Underlying surplus ratio</t>
  </si>
  <si>
    <t>Recurrent income*</t>
  </si>
  <si>
    <t>This ratio serves as an overall measure of financial operating effectiveness.</t>
  </si>
  <si>
    <t>Net financial liabilities</t>
  </si>
  <si>
    <t>This measure shows whether Council's total liabilities can be met by its liquid assets. An excess of total liabilities over liquid assets means that, if all liabilities fell due at once, additional revenue would be needed to fund the shortfall.</t>
  </si>
  <si>
    <t>Net financial liabilities ratio</t>
  </si>
  <si>
    <t>This ratio indicates the net financial obligations of Council compared to its recurrent income.</t>
  </si>
  <si>
    <t>Management indicators (cont.)</t>
  </si>
  <si>
    <t>Asset consumption ratio</t>
  </si>
  <si>
    <t>An asset consumption ratio has been calculated in relation to each asset class required to be included in the long-term strategic asset management plan of Council.</t>
  </si>
  <si>
    <t>Transport Infrastructure</t>
  </si>
  <si>
    <t>This ratio indicates the level of service potential available in Council's existing asset base.</t>
  </si>
  <si>
    <t>Asset renewal funding ratio</t>
  </si>
  <si>
    <t>Projected capital funding outlays**</t>
  </si>
  <si>
    <t>Projected capital expenditure funding***</t>
  </si>
  <si>
    <t>** Current value of projected capital funding outlays for an asset identified in Council's long-term financial plan.</t>
  </si>
  <si>
    <t>*** Value of projected capital expenditure funding for an asset identified in Council's long-term strategic asset management plan.</t>
  </si>
  <si>
    <t>This ratio measures Council's capacity to fund future asset replacement requirements.</t>
  </si>
  <si>
    <t>Asset sustainability ratio</t>
  </si>
  <si>
    <t>Capex on replacement/renewal of existing assets</t>
  </si>
  <si>
    <t>Annual depreciation expense</t>
  </si>
  <si>
    <t>This ratio calculates the extent to which Council is maintaining operating capacity through renewal of their existing asset base.</t>
  </si>
  <si>
    <t>84(2)(db)</t>
  </si>
  <si>
    <t>Capital new /upgrade expenditure</t>
  </si>
  <si>
    <t>Total Capital Expenditure</t>
  </si>
  <si>
    <t>By asset class</t>
  </si>
  <si>
    <t>Buildings etc</t>
  </si>
  <si>
    <t>An asset renewal funding ratio has been calculated in relation to each asset class required to be included in the long-term strategic asset management plan of Council.</t>
  </si>
  <si>
    <t>&lt;where Council uses residual values for assets, an indication such as a percentage should be disclosed&gt;&gt;</t>
  </si>
  <si>
    <t>Acquisitions of assets are initially recorded at cost. Cost is determined as the fair value of the assets given as consideration plus costs incidental to the acquisition.</t>
  </si>
  <si>
    <t>Aus 15.1</t>
  </si>
  <si>
    <t>Where assets are constructed by Council, cost includes all materials used in construction, direct labour, borrowing costs incurred during construction, and an appropriate share of directly attributable variable and fixed overheads.</t>
  </si>
  <si>
    <t>Fair Value Measurements</t>
  </si>
  <si>
    <t>91-99</t>
  </si>
  <si>
    <t>Each Council will need to tailor this disclosure to their specific circumstances.</t>
  </si>
  <si>
    <t>Council measures and recognises the following assets at fair value on a recurring basis:</t>
  </si>
  <si>
    <t>The carrying amounts of trade receivables and trade payables are assumed to approximate their fair values due to their short-term nature (Level 2).</t>
  </si>
  <si>
    <t>Council does not measure any liabilities at fair value on a recurring basis.</t>
  </si>
  <si>
    <t>- Land</t>
  </si>
  <si>
    <t>- Bridges</t>
  </si>
  <si>
    <t>93(a), (d)</t>
  </si>
  <si>
    <t>There were no transfers between levels 1 and 2 during the year, nor between levels 2 and 3.</t>
  </si>
  <si>
    <t>10(a)</t>
  </si>
  <si>
    <t>10(b)</t>
  </si>
  <si>
    <t>Council has decided to sell land previously used as a depot as it is no longer required. It has been placed with real estate agents and is expected to be sold within one year. The land is valued at the lower of carrying value and fair value less cost to sell.</t>
  </si>
  <si>
    <t>Council has developed and subdivided land in an industrial estate which it intends to sell / is in the process of selling. The balance recognised in Assets held for sale represents land parcels placed with real estate agents and likely to be sold within the next twelve months. The land is valued at the lower of carrying value and fair value less costs to sell.</t>
  </si>
  <si>
    <t>Impairment adjustment</t>
  </si>
  <si>
    <t>Internal transfer from Land</t>
  </si>
  <si>
    <t>Recurring fair value measurements</t>
  </si>
  <si>
    <t>Non-recurring fair value measurements</t>
  </si>
  <si>
    <t>93(c ),        (e )(iv)</t>
  </si>
  <si>
    <t>93(d)</t>
  </si>
  <si>
    <t>Useful life</t>
  </si>
  <si>
    <t>The higher the residual value the higher the fair value</t>
  </si>
  <si>
    <t>The higher the useful life the higher the fair value</t>
  </si>
  <si>
    <t>All Council infrastructure assets were fair valued using written down current replacement cost. This valuation comprises the asset's current replacement cost (CRC) less accumulated depreciation calculated on the basis of such cost to reflect the already consumed or expired future economic benefits of the asset. Council first determined the gross cost of replacing the full service potential of the asset and then adjusted this amount to take account of the expired service potential of the asset.</t>
  </si>
  <si>
    <t>Roads, including footpaths &amp; cycleways</t>
  </si>
  <si>
    <t>Where there are transfers into or out of level 3 of the fair value hierarchy, the reasons for those transfers must be disclosed.</t>
  </si>
  <si>
    <t>93(i)</t>
  </si>
  <si>
    <t>93(e )</t>
  </si>
  <si>
    <t>93(g)</t>
  </si>
  <si>
    <t xml:space="preserve">(g) </t>
  </si>
  <si>
    <t>(h)</t>
  </si>
  <si>
    <t>93(a), (b)</t>
  </si>
  <si>
    <t>Land classified as held for sale during the reporting period was measured at the lower of its carrying amount and fair value less cost to sell at the time of reclassification. The fair value of the land was determined using the approach described in the preceding paragraph.</t>
  </si>
  <si>
    <t>In determining the level of accumulated depreciation the asset has been disaggregated into significant components which exhibit useful lives. Allowance has been made for the typical asset life cycle and renewal treatments of each component, residual value at the time the asset is considered to be no longer available for use.</t>
  </si>
  <si>
    <t>CRC was measured by reference to the lowest cost at which the gross future economic benefits of the asset could currently be obtained in the normal course of business. The resulting valuation reflects the cost of replacing the existing economic benefits based on an efficient set of modern equivalent assets to achieve the required level of service output.</t>
  </si>
  <si>
    <t xml:space="preserve">The unit rates (labour and materials) and quantities applied to determine the CRC of an asset or asset component were based on a "Greenfield" assumption meaning that the CRC was determined as the full cost of replacement with a new asset including components that may not need to be replaced, such as earthworks. </t>
  </si>
  <si>
    <t>The methods for calculating CRC are described under individual asset categories below.</t>
  </si>
  <si>
    <t>Other infrastructure is not deemed to be significant in terms of Council's Statement of Financial Position.</t>
  </si>
  <si>
    <t>CRC is based on the road area multiplied by a unit price; the unit price being an estimate of labour and material inputs, services costs, and overhead allocations. Council assumes that pavements are constructed to depths of x cms for high traffic areas and y cms for lower traffic locations. For internal construction estimates, material and services prices are based on existing supplier contract rates or supplier price lists and labour wage rates are based on Council's Enterprise Bargaining Agreement (EBA). Where construction is outsourced, CRC is based on the average of completed similar projects over the last few years.</t>
  </si>
  <si>
    <t>- Other infrastructure</t>
  </si>
  <si>
    <t>Non-recurring fair value measurements are made at the point of reclassification by a registered valuer.</t>
  </si>
  <si>
    <t>93(d) &amp; (h)(i)</t>
  </si>
  <si>
    <t>Property, infrastructure plant and equipment</t>
  </si>
  <si>
    <t>Where Council buildings are of a specialist nature (eg heritage buildings) and there is no active market for the assets, fair value has been determined on the basis of replacement with a new asset having similar service potential. The gross current values have been derived from reference to market data for recent projects and costing guides. The average cost of construction used to calculate the gross current value of Council's buildings was $XX/sqm for heritage buildings.</t>
  </si>
  <si>
    <t>&lt;Examples only - reword to suit&gt;</t>
  </si>
  <si>
    <t>Fair value measurements</t>
  </si>
  <si>
    <t>The obligations are presented as current liabilities in the statement of financial position if the entity does not have an unconditional right to defer settlement for at least twelve months after the reporting date, regardless of when the actual settlement is expected to occur.</t>
  </si>
  <si>
    <t>A liability or asset in respect of defined benefit superannuation plans would ordinarily be recognised in the statement of financial position, and measured as the present value of the defined benefit obligation at the reporting date plus unrecognised actuarial gains (less unrecognised actuarial losses) less the fair value of the superannuation fund’s assets at that date and any unrecognised past service cost. The present value of the defined benefit obligation is based on expected future payments which arise from membership of the fund to the reporting date, calculated annually by independent actuaries using the projected unit credit method. Consideration is given to expected future wage and salary levels, experience of employee departures and periods of service. However, when this information is not reliably available, Council accounts for its obligations to defined benefit plans on the same basis as its obligations to defined contribution plans i.e as an expense when it becomes payable.</t>
  </si>
  <si>
    <t>Contributions to defined contribution plans are recognised as an expense as they become payable. Prepaid contributions are recognised as an asset to the extent that a cash refund or a reduction in the future payments is available.</t>
  </si>
  <si>
    <t>The liability for long service leave and annual leave which is not expected to be wholly settled within 12 months after the end of the period in which the employees render the related service is recognised in the provision for employee benefits and measured as the present value of expected future payments to be made in respect of services provided by employees up to the end of the reporting period using the projected unit credit method. Consideration is given to expected future wage and salary levels, experience of employee departures and periods of service. Expected future payments are discounted using market yields at the end of the reporting period on national government bonds with terms to maturity and currency that match, as closely as possible, the estimated future cash outflows.</t>
  </si>
  <si>
    <t>LG(Bld&amp;Mis Prov)Act 1993</t>
  </si>
  <si>
    <t>XX</t>
  </si>
  <si>
    <t>Underlying surplus/deficit</t>
  </si>
  <si>
    <t>Underlying surplus ratio %</t>
  </si>
  <si>
    <t>Benchmark</t>
  </si>
  <si>
    <t>&lt;Insert commentary on result against benchmark&gt;</t>
  </si>
  <si>
    <t xml:space="preserve">Liquid assets less </t>
  </si>
  <si>
    <t>total liabilities</t>
  </si>
  <si>
    <t>Net financial liabilities ratio %</t>
  </si>
  <si>
    <t>Asset consumption ratio %</t>
  </si>
  <si>
    <t>Asset renewal funding ratio %</t>
  </si>
  <si>
    <t>Asset sustainability ratio %</t>
  </si>
  <si>
    <t>90-100%</t>
  </si>
  <si>
    <t>0% - (50%)</t>
  </si>
  <si>
    <t>Expected range of inputs</t>
  </si>
  <si>
    <t xml:space="preserve">Asset / liability category* </t>
  </si>
  <si>
    <t>Description of how changes in inputs will affect the fair value</t>
  </si>
  <si>
    <t xml:space="preserve">Carrying amount (at fair value) </t>
  </si>
  <si>
    <t>&lt;Provide details of Council's valuation policies and procedures (ie how an entity decides its valuation policies and procedures and analyses changes in fair value measurements from period to period).&gt;</t>
  </si>
  <si>
    <t xml:space="preserve">Unadjusted quoted prices in active markets for identical assets or liabilities that the entity can access at the measurement date. </t>
  </si>
  <si>
    <t xml:space="preserve">Level 1 </t>
  </si>
  <si>
    <t xml:space="preserve">Inputs other than quoted prices included within Level 1 that are observable for the asset or liability, either directly or indirectly. </t>
  </si>
  <si>
    <t>Unobservable inputs for the asset or liability.</t>
  </si>
  <si>
    <t>The fair values of the assets are determined using valuation techniques which maximise the use of observable data, where it is available, and minimise the use of entity specific estimates. If one or more of the significant inputs is not based on observable market data, the asset is included in level 3. This is the case for Council infrastructure assets, which are of a specialist nature for which there is no active market for similar or identical assets. These assets are valued using a combination of observable and unobservable inputs.</t>
  </si>
  <si>
    <t>93, C2&amp;C3</t>
  </si>
  <si>
    <t>Valuation techniques and significant inputs used to derive fair values</t>
  </si>
  <si>
    <t xml:space="preserve">Transfers between levels of the hierarchy
</t>
  </si>
  <si>
    <t>The following assets / liabilities that are measured at fair value on a recurring basis have been subject to a transfer between levels of the hierarchy.</t>
  </si>
  <si>
    <t>Transfers from Level 1 to Level 2</t>
  </si>
  <si>
    <t>[Provide details of the reasons for the transfers]</t>
  </si>
  <si>
    <t>[insert relevant information]</t>
  </si>
  <si>
    <t>Asset / Liability</t>
  </si>
  <si>
    <t>Transfers from Level 2 to Level 1</t>
  </si>
  <si>
    <t xml:space="preserve">(c) </t>
  </si>
  <si>
    <t>Highest and best use</t>
  </si>
  <si>
    <t xml:space="preserve">(a) </t>
  </si>
  <si>
    <t>Fair Value Hierarchy</t>
  </si>
  <si>
    <t>Assets and liabilities not measured at fair value but for which fair value is disclosed</t>
  </si>
  <si>
    <t>Valuation processes</t>
  </si>
  <si>
    <t xml:space="preserve">Investment property and Investment in water corporation </t>
  </si>
  <si>
    <t xml:space="preserve">Land </t>
  </si>
  <si>
    <t xml:space="preserve">Infrastructure assets </t>
  </si>
  <si>
    <t xml:space="preserve">OR    </t>
  </si>
  <si>
    <t>93(e )(f)</t>
  </si>
  <si>
    <t>93(h)</t>
  </si>
  <si>
    <t>If either class is classified as level 3 further details will need to be disclosed, as noted above.</t>
  </si>
  <si>
    <t>Example disclosure only</t>
  </si>
  <si>
    <t>Land held for sale</t>
  </si>
  <si>
    <t xml:space="preserve">Land under roads </t>
  </si>
  <si>
    <t>Balance at beginning of reporting period</t>
  </si>
  <si>
    <t>Gain/loss recognised in profit or loss – [insert line item where the gain / loss is recognised] – Realised</t>
  </si>
  <si>
    <t>Gain/loss recognised in profit or loss – Unrealised</t>
  </si>
  <si>
    <t>Purchases</t>
  </si>
  <si>
    <t xml:space="preserve">Sales </t>
  </si>
  <si>
    <t>Transfers into level 3</t>
  </si>
  <si>
    <t>Transfers out of level 3</t>
  </si>
  <si>
    <t xml:space="preserve">(f) </t>
  </si>
  <si>
    <t xml:space="preserve">(e)  </t>
  </si>
  <si>
    <t>Changes in recurring level 3 fair value measurements</t>
  </si>
  <si>
    <t>Unobservable inputs and sensitivities</t>
  </si>
  <si>
    <t>- narrative description of the sensitivity of the fair value measurement to changes in unobservable inputs if a change in those inputs to a different amount might result in a significantly higher or lower fair value measurement. Interrelationships between inputs to also be disclosed. Refer Note (d) below.</t>
  </si>
  <si>
    <t>eg Buildings</t>
  </si>
  <si>
    <t>$XX</t>
  </si>
  <si>
    <t>eg Sealed roads</t>
  </si>
  <si>
    <t>Residual value</t>
  </si>
  <si>
    <t>provide range</t>
  </si>
  <si>
    <t>*There were no significant inter-relationships between unobservable inputs that materially affect fair values.</t>
  </si>
  <si>
    <t>Key unobservable inputs *</t>
  </si>
  <si>
    <t>Liabilities for wages and salaries, including non-monetary benefits, annual leave and accumulating sick leave expected to be wholly settled within 12 months after the end of the period in which the employees render the related service are recognised in respect of employees' services up to the end of the reporting period and are measured at the amounts expected to be paid when the liabilities are settled. The liability for annual leave is recognised in the provision for employee benefits. All other short-term employee benefit obligations are presented as payables.</t>
  </si>
  <si>
    <t>Total Comprehensive result</t>
  </si>
  <si>
    <t>This financial report has been prepared on the accrual and going concern basis.</t>
  </si>
  <si>
    <t>Council has adopted the following valuation bases for its non-current assets:</t>
  </si>
  <si>
    <t>fair value</t>
  </si>
  <si>
    <t>Plant and machinery</t>
  </si>
  <si>
    <t>cost</t>
  </si>
  <si>
    <t>Furniture, fittings and office equipment</t>
  </si>
  <si>
    <t>Stormwater and drainage infrastructure</t>
  </si>
  <si>
    <t>Roads and streets infrastructure</t>
  </si>
  <si>
    <t>Parks, recreation facilities and community amenities</t>
  </si>
  <si>
    <t>Heritage</t>
  </si>
  <si>
    <t>Operating leases as lessor</t>
  </si>
  <si>
    <t xml:space="preserve">Where leases are non-commercial agreements, these are generally with not for profit, such as sporting, organisations. In these cases subsidised or peppercorn rents are charged because Council recognises part of its role is community service and community support. In these situations, Council records lease revenue on an accruals basis and records the associated properties as part of land and buildings within property, plant and equipment. Buildings are recognised at depreciated replacement cost. 
</t>
  </si>
  <si>
    <t>Update as required</t>
  </si>
  <si>
    <t>Grants were received in respect of the following:</t>
  </si>
  <si>
    <t>Update as needed</t>
  </si>
  <si>
    <t>Update as necessary</t>
  </si>
  <si>
    <t>Variance</t>
  </si>
  <si>
    <t>Income from continuing operations</t>
  </si>
  <si>
    <t>Total income from continuing operations</t>
  </si>
  <si>
    <t>Expenses from continuing operations</t>
  </si>
  <si>
    <t>Total expenses from continuing operations</t>
  </si>
  <si>
    <t>82(ea)</t>
  </si>
  <si>
    <t>Adoption of new and amended accounting standards</t>
  </si>
  <si>
    <t>The fair value of identifiable assets and liabilities acquired are recognised in the consolidated financial statements at the acquisition date.</t>
  </si>
  <si>
    <t>Goodwill or a gain on bargain purchase may arise on the acquisition date, this is calculated by comparing the consideration transferred and the amount of non-controlling interest in the acquiree with the fair value of the net identifiable assets acquired. Where consideration is greater than the assets, the excess is recorded as goodwill. Where the net assets acquired are greater than the consideration, the measurement basis of the net assets are reassessed and then a gain from bargain purchase recognised in profit or loss.</t>
  </si>
  <si>
    <t>All acquisition related costs are recognised as expenses in the periods in which the costs are incurred except for costs to issue debt or equity securities.</t>
  </si>
  <si>
    <t>Any contingent consideration which forms part of the combination is recognised at fair value at the acquisition date. If the contingent consideration is classified as equity then it is not re-measured and the settlement is accounted for within equity. Otherwise subsequent changes in the value of the contingent consideration liability are measured through profit or loss.</t>
  </si>
  <si>
    <t>Interest in other entities</t>
  </si>
  <si>
    <t xml:space="preserve">Subsidiaries are all entities (including structured entities) over which the Council has control. Control is established when the Council is exposed to, or has rights to variable returns from its involvement with the entity and has the ability to affect those returns through its power to direct the relevant activities of the entity. </t>
  </si>
  <si>
    <t>Associates</t>
  </si>
  <si>
    <t>Business combinations</t>
  </si>
  <si>
    <t>Business combinations are accounted for by applying the acquisition method which requires an acquiring entity to be identified in all cases. The acquisition date under this method is the date that the acquiring entity obtains control over the acquired entity.</t>
  </si>
  <si>
    <t>Interests in other entities</t>
  </si>
  <si>
    <t>Interests in subsidiaries</t>
  </si>
  <si>
    <t>Composition of group</t>
  </si>
  <si>
    <t>Subsidiaries</t>
  </si>
  <si>
    <t>Sub 1</t>
  </si>
  <si>
    <t>Sub 2</t>
  </si>
  <si>
    <t>Principal place of business / country of incorporation</t>
  </si>
  <si>
    <t>Australia</t>
  </si>
  <si>
    <t>x</t>
  </si>
  <si>
    <t>The percentage ownership interest held is equivalent to the percentage voting rights for all subsidiaries.</t>
  </si>
  <si>
    <t>Controlled entities with ownership interest of 50% or less</t>
  </si>
  <si>
    <t>Significant restrictions relating to subsidiaries</t>
  </si>
  <si>
    <t xml:space="preserve">Provide details of significant restrictions, for example statutory, contractual and regulatory restrictions, on the subsidiary’s ability to access or use the assets and settle the liabilities of the group, i.e: 
• Those that restrict the ability of a parent or its subsidiaries to transfer cash or other assets to (or from) other entities within the Group. 
• Guarantees or other requirements that may restrict dividends and other capital distributions being paid, or loans and advance being made or repaid to (or from) other entities within the Group.
</t>
  </si>
  <si>
    <t>Subsidiaries with significant non-controlling interests</t>
  </si>
  <si>
    <t>Name of subsidiary</t>
  </si>
  <si>
    <t>Profit / (loss) allocated to NCI</t>
  </si>
  <si>
    <t>Accumulated NCI of subsidiary</t>
  </si>
  <si>
    <t>Dividends paid to NCI</t>
  </si>
  <si>
    <t>Summarised statement of financial position</t>
  </si>
  <si>
    <t>Net assets</t>
  </si>
  <si>
    <t>Summarised statement of profit and loss and other comprehensive income</t>
  </si>
  <si>
    <t>Profit / (loss)</t>
  </si>
  <si>
    <t>Total comprehensive income</t>
  </si>
  <si>
    <t>Summarised statement of cash flows</t>
  </si>
  <si>
    <t>Cash flows from financing activities</t>
  </si>
  <si>
    <t>Net increase / (decrease) in cash and cash equivalents</t>
  </si>
  <si>
    <t>% ownership held by NCI</t>
  </si>
  <si>
    <t>xx</t>
  </si>
  <si>
    <t>Consolidated structured entities</t>
  </si>
  <si>
    <t>Where Council has consolidated structured entities, provide details of circumstances where Council or an entity within the group may be required to provide financial support to that consolidated structured entity and details where support has been provided during the financial reporting period.</t>
  </si>
  <si>
    <t>Consequences of changes in a Council’s ownership interest in a subsidiary that do not result in a loss of control</t>
  </si>
  <si>
    <t>Disposal of ownership interest</t>
  </si>
  <si>
    <t>Consideration received</t>
  </si>
  <si>
    <t>Less: Increase in net assets attributable to NCI</t>
  </si>
  <si>
    <t>Increase / (decrease) in Council interest</t>
  </si>
  <si>
    <t>[year end date] $</t>
  </si>
  <si>
    <t>Note: the increase / decrease to Council interest is recorded in the Transactions with Non-controlling Interest reserve.</t>
  </si>
  <si>
    <t>Acquisition of ownership interest</t>
  </si>
  <si>
    <t>NCI acquired</t>
  </si>
  <si>
    <t>Less: consideration paid</t>
  </si>
  <si>
    <t>Note: the increase / decrease to Council interest is recorded in the Transactions with Non-controlling Interest revenue.</t>
  </si>
  <si>
    <t>Interests in Joint Arrangements</t>
  </si>
  <si>
    <t>Joint arrangements:</t>
  </si>
  <si>
    <t>Joint arrangement 1</t>
  </si>
  <si>
    <t>Joint arrangement 2</t>
  </si>
  <si>
    <t>Type of joint arrangement</t>
  </si>
  <si>
    <t>The percentage ownership interest held is equivalent to the percentage voting rights for all joint arrangements.</t>
  </si>
  <si>
    <t>The following information is provided for joint ventures that are material to the Group and is the amount per the JV financial statements, adjusted for fair value adjustments at acquisition date and differences in accounting policies, rather than the Group’s share.</t>
  </si>
  <si>
    <t>Name of joint venture</t>
  </si>
  <si>
    <t>Dividends received from the joint venture</t>
  </si>
  <si>
    <t>Current financial liabilities (excluding trade and other payables and provisions)</t>
  </si>
  <si>
    <t>Interest income</t>
  </si>
  <si>
    <t>Income expense</t>
  </si>
  <si>
    <t>Income tax expense (income)</t>
  </si>
  <si>
    <t>Profit / (loss) from continuing operations</t>
  </si>
  <si>
    <t>Post-tax profit or loss from discontinued operations</t>
  </si>
  <si>
    <t>Measurement basis (equity method / fair value)</t>
  </si>
  <si>
    <t>Reconciliation of carrying amount of interest in joint venture to summarised financial information for joint ventures accounted for using the equity method:</t>
  </si>
  <si>
    <t>[insert reconciling items]</t>
  </si>
  <si>
    <t>Carrying amount</t>
  </si>
  <si>
    <t>Fair value of investment (if there is a quoted price)</t>
  </si>
  <si>
    <t xml:space="preserve">[Name of joint venture] </t>
  </si>
  <si>
    <t>Current year end $</t>
  </si>
  <si>
    <t xml:space="preserve">Prior year end $ </t>
  </si>
  <si>
    <t>Group’s share of xx% of net assets</t>
  </si>
  <si>
    <t>Aggregate information for joint ventures that are not individually material</t>
  </si>
  <si>
    <t>The Group has interests in a number of joint ventures none of which is considered individually material. The table below summarises, in aggregate, the financial information of all individually immaterial joint ventures.</t>
  </si>
  <si>
    <t>Carrying amount of investments in joint ventures that are not individually material</t>
  </si>
  <si>
    <t>Share of those joint ventures:</t>
  </si>
  <si>
    <t>Profit or loss from continuing operations</t>
  </si>
  <si>
    <t>Prior year end $</t>
  </si>
  <si>
    <t>Unrecognised share of losses</t>
  </si>
  <si>
    <t>Risk associated with the interests in joint ventures</t>
  </si>
  <si>
    <t>Commitments relating to joint ventures held</t>
  </si>
  <si>
    <t>Contingent liabilities incurred jointly with other investments over joint ventures held</t>
  </si>
  <si>
    <t>Interests in associates</t>
  </si>
  <si>
    <t>Associates:</t>
  </si>
  <si>
    <t>Associate 1</t>
  </si>
  <si>
    <t>Associate 2</t>
  </si>
  <si>
    <t>The percentage ownership interest held is equivalent to the percentage voting rights for all associates.</t>
  </si>
  <si>
    <t>Provide details of the nature of the Council’s relationship with the associate, for example describing the nature of the activities of the associate and whether they are strategic to the entity’s activities.</t>
  </si>
  <si>
    <t>All associates have the same year end as the Council. There are no significant restrictions on the ability of associates to transfer funds to the Group in the form of cash dividends or to repay loans or advances made by the council.</t>
  </si>
  <si>
    <t>Material associates</t>
  </si>
  <si>
    <t>The following information is provided for associates that are material to the Group and is the amount per the associate’s financial statements, adjusted for fair value adjustments at acquisition date and differences in accounting policies, rather than the Group’s share.</t>
  </si>
  <si>
    <t>Name of associate</t>
  </si>
  <si>
    <t>Dividends received from the associate</t>
  </si>
  <si>
    <t>Reconciliation of carrying amount of interest in associate to summarised financial information for associates accounted for using the equity method:</t>
  </si>
  <si>
    <t xml:space="preserve">[Name of associate] </t>
  </si>
  <si>
    <t xml:space="preserve">Current year end $ </t>
  </si>
  <si>
    <t>The Group has interests in a number of associates none of which is considered individually material. The table below summarises, in aggregate, the financial information of all individually immaterial associates.</t>
  </si>
  <si>
    <t>Share of those associates:</t>
  </si>
  <si>
    <t>Carrying amount of investments in associates that are not individually material</t>
  </si>
  <si>
    <t>Risks associated with the interest in associates</t>
  </si>
  <si>
    <t>Contingent liabilities incurred jointly with other investments over associates held</t>
  </si>
  <si>
    <t>Council required to insert note for relevant sections if AASB 10 &amp; 11 apply</t>
  </si>
  <si>
    <t xml:space="preserve">(ii)  </t>
  </si>
  <si>
    <t>Termination benefits</t>
  </si>
  <si>
    <t>$</t>
  </si>
  <si>
    <t>Allowances</t>
  </si>
  <si>
    <t xml:space="preserve"> [Provide sufficient and relevant information to meet the intent of improved transparency through greater disclosure of remuneration arrangements]</t>
  </si>
  <si>
    <t>Short term incentive payments</t>
  </si>
  <si>
    <t>[Further comments should be added here to clearly specify links between fixed remuneration and performance.]</t>
  </si>
  <si>
    <t>Termination payments during the current year included:</t>
  </si>
  <si>
    <t>Executives</t>
  </si>
  <si>
    <t>Remuneration levels for key management personnel are set in accordance with …</t>
  </si>
  <si>
    <t>The performance of each senior executive, including the General Manager, is reviewed annually which includes a review of their remuneration package. The terms of employment of each senior executive, including the General Manager, contain a termination clause that requires the senior executive or Council to provide a minimum notice period of up to x months prior to termination of the contract. Whilst not automatic, contracts can be extended.</t>
  </si>
  <si>
    <t>The Council sets fixed performance targets with goals and indicators aligned to …</t>
  </si>
  <si>
    <t>Key management personnel are those persons having authority and responsibility for planning, directing and controlling the entity. Examples of key management personnel are likely to be Executive personnel.</t>
  </si>
  <si>
    <t>Where assets have separate identifiable components that are subject to regular replacement, these components are assigned distinct useful lives and remaining values and a separate depreciation rate is determined for each component.</t>
  </si>
  <si>
    <t>However, the disclosure is STRONGLY recommended</t>
  </si>
  <si>
    <t>General Comments</t>
  </si>
  <si>
    <t>The actuarial review concluded that:</t>
  </si>
  <si>
    <t>The financial assumptions used to calculate the Accrued Benefits for the Fund were:</t>
  </si>
  <si>
    <t>Price Inflation   n/a</t>
  </si>
  <si>
    <t>n</t>
  </si>
  <si>
    <t>The Fund is a defined benefit Fund.</t>
  </si>
  <si>
    <t>Reporting entity</t>
  </si>
  <si>
    <t>Use of estimates and judgements</t>
  </si>
  <si>
    <t>Use of judgements and estimates</t>
  </si>
  <si>
    <t>51 (d,e)</t>
  </si>
  <si>
    <t>Need to update note ref</t>
  </si>
  <si>
    <t xml:space="preserve">Council is a lessor and enters into agreements with a number of lessees. These include commercial and non-commercial agreements. </t>
  </si>
  <si>
    <t>26(a,b)</t>
  </si>
  <si>
    <t xml:space="preserve">Aus 6a, 8.1, 26.1  </t>
  </si>
  <si>
    <t>Accounting policy</t>
  </si>
  <si>
    <t>Rental income</t>
  </si>
  <si>
    <t>Gains and losses on asset disposals</t>
  </si>
  <si>
    <t>Investment revenue</t>
  </si>
  <si>
    <t>Materials and services expense</t>
  </si>
  <si>
    <t>Impairment expense</t>
  </si>
  <si>
    <t>Depreciation and amortisation expense</t>
  </si>
  <si>
    <t>Finance expense</t>
  </si>
  <si>
    <t>Amounts received as tender deposits and retention amounts controlled by Council are recognised as Trust funds until they are returned or forfeited.</t>
  </si>
  <si>
    <t>i) Short term obligations</t>
  </si>
  <si>
    <t>ii) Other long term employee benefit obligations</t>
  </si>
  <si>
    <t>iii) Sick leave</t>
  </si>
  <si>
    <t>iv) Defined benefit plans</t>
  </si>
  <si>
    <t>v) Defined contribution plans</t>
  </si>
  <si>
    <t>All amounts are presented in Australian dollars and unless stated, have been rounded to the nearest thousand dollars.</t>
  </si>
  <si>
    <t>Investment Property</t>
  </si>
  <si>
    <t>Significant business activities</t>
  </si>
  <si>
    <t>Goods and services tax (GST)</t>
  </si>
  <si>
    <t xml:space="preserve">(d) </t>
  </si>
  <si>
    <t xml:space="preserve">(e) </t>
  </si>
  <si>
    <t>i) Subsidiaries</t>
  </si>
  <si>
    <t>ii) Joint arrangements</t>
  </si>
  <si>
    <t>In relation to its joint operations, where the venturer has the rights to the individual assets and obligations arising from the arrangement, the Council has recognised: 
• Its assets, including its share of any assets held jointly; 
• Its liabilities, including its share of any liabilities incurred jointly; 
• Its revenue from the sale of its share of the output arising from the joint operation; 
• Its share of the revenue from the sale of the output by the joint operation; 
• Its expenses, including its share of any expenses incurred jointly. 
These figures are incorporated into the relevant line item in the primary statements.</t>
  </si>
  <si>
    <t>iii) Joint operations</t>
  </si>
  <si>
    <t>iv) Joint ventures</t>
  </si>
  <si>
    <t>v) Associates</t>
  </si>
  <si>
    <t>Reversal of impairment income</t>
  </si>
  <si>
    <t xml:space="preserve">Land, heritage, artwork and road earthwork assets are not depreciated on the basis that they are assessed as not having a limited useful life.    </t>
  </si>
  <si>
    <t>Managed funds</t>
  </si>
  <si>
    <t xml:space="preserve">Managed funds </t>
  </si>
  <si>
    <t>No accrual is made for sick leave as Council experience indicates that, on average, sick leave taken in each reporting period is less than the entitlement accruing in that period, and this experience is expected to recur in future reporting periods. Council does not make payment for untaken sick leave.</t>
  </si>
  <si>
    <t>Remuneration Principles</t>
  </si>
  <si>
    <t>Aggregate information for associates that are not individually material.</t>
  </si>
  <si>
    <t xml:space="preserve">Net asset revaluation increment/(decrement) </t>
  </si>
  <si>
    <t>A non-current asset held for sale (including disposal groups) is measured at the lower of its carrying amount and fair value less costs to sell, and is not subject to depreciation. Non-current assets, disposal groups and related liabilities are treated as current and classified as held for sale if their carrying amount will be recovered through a sale transaction rather than through continuing use. This condition is regarded as met only when the sale is highly probable and the asset's sale (or disposal group sale) is expected to be completed within 12 months from the date of classification.</t>
  </si>
  <si>
    <t>The following classes of assets have been recognised.  In accordance with Council's policy, the threshold limits detailed below have applied when recognising assets within an applicable asset class and unless otherwise stated are consistent with the prior year:</t>
  </si>
  <si>
    <t>Intangible assets with finite lives that are acquired separately are carried at cost less accumulated amortisation and accumulated impairment losses. Amortisation is recognised on a straight-line basis over their estimated useful lives. The estimated useful life and amortisation method are reviewed at the end of each reporting period, with the effect of any changes in estimate being accounted for on a prospective basis. Intangible assets with indefinite useful lives that are acquired separately are carried at cost less accumulated impairment losses.</t>
  </si>
  <si>
    <t>The estimated useful lives for current and comparative periods are as follows:</t>
  </si>
  <si>
    <t>&lt;insert years&gt;</t>
  </si>
  <si>
    <t>change to suit</t>
  </si>
  <si>
    <t>Inserted leases here</t>
  </si>
  <si>
    <t>Borrowings</t>
  </si>
  <si>
    <t xml:space="preserve"> (Decrement)</t>
  </si>
  <si>
    <t>The Council's exposure to liquidity risk is deemed insignificant based on prior periods' data and current assessment of risk.</t>
  </si>
  <si>
    <t>Need to include in SOCI if relevant</t>
  </si>
  <si>
    <t>As an alternative to disclosing Judgements and Assumptions here, an entity may choose to avoid the note referencing and include the disclosure within the relevant note. It should be disclosed in a way to ensure it is highlighted.</t>
  </si>
  <si>
    <t>Result from continuing operations</t>
  </si>
  <si>
    <t>Result from discontinued operations</t>
  </si>
  <si>
    <t>Net result for the year</t>
  </si>
  <si>
    <t>• that the entity must demonstrate to us that its financial reporting and auditing arrangements are appropriate. To satisfy this condition, the dispensed with audit entities are required to submit their audited financial statements to us each year. The financial statements are reviewed and, where necessary, feedback on information presented in the financial statements is provided to the entity or</t>
  </si>
  <si>
    <t>• that the entity is a subsidiary of a State entity whose financial transactions and balances are audited as part of the preparation of the consolidated financial statements of the controlling entity.</t>
  </si>
  <si>
    <t>For inclusion here the subsidiary must be sustainable and the parent demonstrate appropriate handling of financial arrangements.</t>
  </si>
  <si>
    <t>Where a subsidiary is material or deemed of public interest and a dispensation not granted, financial accounts will need to be prepared.</t>
  </si>
  <si>
    <t>We consider the following standards the minimum basic accounting framework for the preparation of proper accounts and records in special purpose financial reports.</t>
  </si>
  <si>
    <t>From this starting block, financial reports should be augmented by any other accounting standard relevant to the preparation of an entity’s financial statements.</t>
  </si>
  <si>
    <t>Please consult with your audit team when preparing this note.</t>
  </si>
  <si>
    <t>Criteria for dispensation</t>
  </si>
  <si>
    <t>Investment in Water Corporation</t>
  </si>
  <si>
    <t>There have been no transfers between level 1, 2 or 3 measurements during the year.</t>
  </si>
  <si>
    <t>In the current year, Council has adopted all of the new and revised Standards and Interpretations issued by the Australian Accounting Standards Board that are relevant to its operations and effective for the current annual reporting period. These include:</t>
  </si>
  <si>
    <t>At each reporting date, Council reviews the carrying value of its assets to determine whether there is any indication that these assets have been impaired. If such an indication exists, the recoverable amount of the asset, being the higher of the asset's fair value less costs to sell and value in use, is compared to the assets carrying value. Any excess of the assets carrying value over its recoverable amount is expensed to the Statement of Other Comprehensive Income, unless the asset is carried at the revalued amount in which case, the impairment loss is recognised directly against the revaluation reserve in respect of the same class of asset to the extent that the impairment loss does not exceed the amount in the revaluation surplus for that same class of asset.  For non-cash generating assets of Council such as roads, drains, public buildings and the like, value in use is represented by the deprival value of the asset approximated by its written down replacement cost.</t>
  </si>
  <si>
    <t>All other Australian accounting standards and interpretations with future effective dates are either not applicable to Council's activities, or have no material impact.</t>
  </si>
  <si>
    <t xml:space="preserve">Statement of Comprehensive Income
</t>
  </si>
  <si>
    <t>Expenses are recognised in the Statement of Comprehensive Income when a decrease in future economic benefits related to a decrease in asset or an increase of a liability has arisen that can be measured reliably.</t>
  </si>
  <si>
    <t>118(c),</t>
  </si>
  <si>
    <t>118(e)</t>
  </si>
  <si>
    <t>86(c)</t>
  </si>
  <si>
    <t>86(a)</t>
  </si>
  <si>
    <r>
      <t xml:space="preserve">The Auditor-General has the discretion, under the </t>
    </r>
    <r>
      <rPr>
        <i/>
        <sz val="10.5"/>
        <color rgb="FF0000FF"/>
        <rFont val="Arial"/>
        <family val="2"/>
      </rPr>
      <t xml:space="preserve">Audit Act 2008 </t>
    </r>
    <r>
      <rPr>
        <sz val="10.5"/>
        <color rgb="FF0000FF"/>
        <rFont val="Arial"/>
        <family val="2"/>
      </rPr>
      <t>to dispense with certain audits if considered appropriate in the circumstances. The dispensation is subject to conditions determined by the Auditor-General. We have imposed the following conditions:</t>
    </r>
  </si>
  <si>
    <r>
      <t xml:space="preserve">○ AASB 101 </t>
    </r>
    <r>
      <rPr>
        <i/>
        <sz val="10.5"/>
        <color rgb="FF0000FF"/>
        <rFont val="Arial"/>
        <family val="2"/>
      </rPr>
      <t>Presentation of Financial Statements</t>
    </r>
  </si>
  <si>
    <r>
      <t xml:space="preserve">○ AASB 107 </t>
    </r>
    <r>
      <rPr>
        <i/>
        <sz val="10.5"/>
        <color rgb="FF0000FF"/>
        <rFont val="Arial"/>
        <family val="2"/>
      </rPr>
      <t>Statement of Cash Flows</t>
    </r>
  </si>
  <si>
    <r>
      <t xml:space="preserve">○ AASB 108 </t>
    </r>
    <r>
      <rPr>
        <i/>
        <sz val="10.5"/>
        <color rgb="FF0000FF"/>
        <rFont val="Arial"/>
        <family val="2"/>
      </rPr>
      <t>Accounting Policies, Changes in Accounting Estimates and Errors</t>
    </r>
  </si>
  <si>
    <r>
      <t xml:space="preserve">○ AASB 1048 </t>
    </r>
    <r>
      <rPr>
        <i/>
        <sz val="10.5"/>
        <color rgb="FF0000FF"/>
        <rFont val="Arial"/>
        <family val="2"/>
      </rPr>
      <t>Interpretation of Standards</t>
    </r>
    <r>
      <rPr>
        <sz val="10.5"/>
        <color rgb="FF0000FF"/>
        <rFont val="Arial"/>
        <family val="2"/>
      </rPr>
      <t>.</t>
    </r>
  </si>
  <si>
    <r>
      <t xml:space="preserve">○ AASB 1054 </t>
    </r>
    <r>
      <rPr>
        <i/>
        <sz val="10.5"/>
        <color rgb="FF0000FF"/>
        <rFont val="Arial"/>
        <family val="2"/>
      </rPr>
      <t>Australian Additional Disclosures</t>
    </r>
  </si>
  <si>
    <t>Deputy Mayor</t>
  </si>
  <si>
    <t>Short term employee benefits</t>
  </si>
  <si>
    <t>Post employment benefits</t>
  </si>
  <si>
    <t>Total Compensation AASB 124</t>
  </si>
  <si>
    <t>Total allowances and expenses section 72</t>
  </si>
  <si>
    <t>Mayor</t>
  </si>
  <si>
    <t>Remuneration band</t>
  </si>
  <si>
    <t xml:space="preserve"> $120 001 - $140 000 </t>
  </si>
  <si>
    <t xml:space="preserve"> $140 001 - $160 000 </t>
  </si>
  <si>
    <t xml:space="preserve"> $160 001 - $180 000 </t>
  </si>
  <si>
    <t xml:space="preserve"> $240 001 - $260 000 </t>
  </si>
  <si>
    <t>The employment terms and conditions of senior executives are contained in individual employment contracts and prescribe total remuneration, superannuation, annual and long service leave, vehicle and salary sacrifice provisions.  In addition to their salaries, Council also provides non-cash benefits and contributes to post-employment superannuation plans on their behalf.</t>
  </si>
  <si>
    <t>Sheet</t>
  </si>
  <si>
    <t>Example disclosure to comply with AASB124 and LGA requirements</t>
  </si>
  <si>
    <t>For the purposes of the Statement of Cash Flows, cash and cash equivalents include cash on hand, deposits at call, and other highly liquid investments with original maturities of three months or less, net of outstanding bank overdrafts.</t>
  </si>
  <si>
    <t>Update if a quantitative note disclosure required</t>
  </si>
  <si>
    <t>Include any additional accounting policies to support quantitative disclosure, where considered material</t>
  </si>
  <si>
    <t>AASB1054.10b - For all other services performed during the reporting period an entity shall describe the nature of other services.</t>
  </si>
  <si>
    <t>Last sentence applies to all who hold an Investment in TasWater</t>
  </si>
  <si>
    <t>Note 21 for Water Corp'</t>
  </si>
  <si>
    <t>Significant items of note include:</t>
  </si>
  <si>
    <t>Various wording, terminology and references are highlighted throughout these model statements.</t>
  </si>
  <si>
    <t xml:space="preserve">Reference
</t>
  </si>
  <si>
    <t>Total should equate to amount disclosed in Cash Flow statement</t>
  </si>
  <si>
    <t>At the date of signing this certification, I am not aware of any circumstances which would render the particulars included in the financial statements misleading or inaccurate.</t>
  </si>
  <si>
    <t>The completed Financial Statements Preparation and Submission Checklist is enclosed.</t>
  </si>
  <si>
    <t>Chief Financial Officer</t>
  </si>
  <si>
    <t>Balance Sheet</t>
  </si>
  <si>
    <t>SFP</t>
  </si>
  <si>
    <t>Check Prior Year</t>
  </si>
  <si>
    <t>Check Current Year</t>
  </si>
  <si>
    <t>From SFP &amp; Note</t>
  </si>
  <si>
    <t>Statement of Comprehensive Income</t>
  </si>
  <si>
    <t>Less non-operating income</t>
  </si>
  <si>
    <t>Add non-operational expenses</t>
  </si>
  <si>
    <t>The intent of the underlying result is to show the outcome of a council’s normal or usual day to day operations.</t>
  </si>
  <si>
    <t xml:space="preserve">Transactions with related parties </t>
  </si>
  <si>
    <t>During the period Council entered into the following transactions with related parties.</t>
  </si>
  <si>
    <t>(Include aggregate details and disclose each type of transaction, the nature of the terms and conditions relating to the transaction  and the aggregate amount  of each type of transaction.)</t>
  </si>
  <si>
    <t>Nature of the transaction</t>
  </si>
  <si>
    <t>Amount of the transactions during the year</t>
  </si>
  <si>
    <t>Outstanding balances, including
commitments at year end</t>
  </si>
  <si>
    <t>Terms and conditions</t>
  </si>
  <si>
    <t>Council owes
$5,000</t>
  </si>
  <si>
    <t>Council owes
$50,000</t>
  </si>
  <si>
    <t>The aggregate amount of loans in existence at balance date that have been made, guaranteed or secured by the council to a related party as follows:</t>
  </si>
  <si>
    <t>(Include aggregate details of original amount of loan, repayments received in period, outstanding balance and details of the terms and conditions applicable.)</t>
  </si>
  <si>
    <t>(vi)</t>
  </si>
  <si>
    <t>Commitments to/from related parties</t>
  </si>
  <si>
    <t>The aggregate amount of commitments  in existence at balance date that have been made, guaranteed or secured by the council to a related party are as follows:</t>
  </si>
  <si>
    <t>(Include aggregated details of commitments to or from related parties.)</t>
  </si>
  <si>
    <t>The expense recognised during the period relating to bad or doubtful debts due from related parties</t>
  </si>
  <si>
    <t>(vii)</t>
  </si>
  <si>
    <t>Transactions with related parties that have not been disclosed</t>
  </si>
  <si>
    <t>Most of the entities and people that are related parties of council live and operate within the municipality. Therefore, on a regular basis ordinary citizen transactions occur between Council and its related parties. Some examples include:</t>
  </si>
  <si>
    <t>- Use of Council's swimming pool</t>
  </si>
  <si>
    <t>- Dog registration</t>
  </si>
  <si>
    <t>Council has not included these types of transaction in its disclosure, where they are made on the same terms and conditions available to the general public.</t>
  </si>
  <si>
    <t>- Payment of rates on a primary residence</t>
  </si>
  <si>
    <t>18b</t>
  </si>
  <si>
    <t>Loans and guarantees to/from related parties</t>
  </si>
  <si>
    <t>18b(ii)</t>
  </si>
  <si>
    <t>(Include details of the body or organisation to which an interest has been notified.)</t>
  </si>
  <si>
    <r>
      <t xml:space="preserve">Include </t>
    </r>
    <r>
      <rPr>
        <b/>
        <u/>
        <sz val="11.5"/>
        <color rgb="FF0000FF"/>
        <rFont val="Arial Narrow"/>
        <family val="2"/>
      </rPr>
      <t>one</t>
    </r>
    <r>
      <rPr>
        <b/>
        <sz val="11.5"/>
        <color rgb="FF0000FF"/>
        <rFont val="Arial Narrow"/>
        <family val="2"/>
      </rPr>
      <t xml:space="preserve"> of these 2 options to cover LGA 84(2)(b)</t>
    </r>
  </si>
  <si>
    <t>Transactions with subsidiaries, associates and joint ventures</t>
  </si>
  <si>
    <t>Transactions with subsidiaries</t>
  </si>
  <si>
    <t>Transactions with associates</t>
  </si>
  <si>
    <t>Transactions with joint ventures</t>
  </si>
  <si>
    <t>The following transactions occurred with subsidiaries:</t>
  </si>
  <si>
    <t>Subsidiary</t>
  </si>
  <si>
    <t>Goods and services supplied by council, on normal terms and conditions</t>
  </si>
  <si>
    <t>Rental accommodation</t>
  </si>
  <si>
    <t>Commercial rates and charges</t>
  </si>
  <si>
    <t>Grant and subsidies provided by council</t>
  </si>
  <si>
    <t>18(f), (g) 24</t>
  </si>
  <si>
    <t>18(c)</t>
  </si>
  <si>
    <t>18(d)</t>
  </si>
  <si>
    <t>18(e)</t>
  </si>
  <si>
    <t>&lt;Below table will need to be adapted to Council and the level of disclosure considered appropriate.&gt;</t>
  </si>
  <si>
    <t>&lt;Include details of holdings where relevant&gt;</t>
  </si>
  <si>
    <t xml:space="preserve">93(c ),        </t>
  </si>
  <si>
    <t>(e )(iv)</t>
  </si>
  <si>
    <t>Other significant accounting policies and pending accounting standards</t>
  </si>
  <si>
    <t>Administration and operation of dog registration, operation of pounds, control of straying stock, and noxious weeds. Operation of the Child Care Centre, operation and support of the performing arts, museum and the presentation of festivals. Community Development which provides for the implementation of a process by which strategies and plans can be developed so that the Council can fulfil their general responsibility for enhancing the quality of life of the whole community.</t>
  </si>
  <si>
    <t>Recurrent income</t>
  </si>
  <si>
    <t>Amounts are all forms of consideration paid, payable or provided by the entity, i.e., disclosure is made on an accruals basis and includes all accrued benefits at 30 June.  Don't forget those in acting arrangements for a period of 4 weeks or more.  Remuneration is the full salary and other benefits (e.g. HDA) paid for the period they are acting.</t>
  </si>
  <si>
    <t>Further Guidance</t>
  </si>
  <si>
    <t>AASB 124 Related Party Disclosures – Your Questions Answered</t>
  </si>
  <si>
    <t>Liabilities arising from financing activities are liabilities for which cash flows were, or future cash flows will be, classified in the Statement of Cash Flows as cash flows from financing activities.</t>
  </si>
  <si>
    <t>$’000 </t>
  </si>
  <si>
    <t>Lease liabilities </t>
  </si>
  <si>
    <t>$’000</t>
  </si>
  <si>
    <t>Acquisitions / New leases</t>
  </si>
  <si>
    <t>Foreign exchange rate movements</t>
  </si>
  <si>
    <t>Changes in fair value</t>
  </si>
  <si>
    <t>Other movements</t>
  </si>
  <si>
    <t>Transfers to / (from) other Government entity</t>
  </si>
  <si>
    <t>Changes from financing cash flows:</t>
  </si>
  <si>
    <t>Overview</t>
  </si>
  <si>
    <t>Current Assets</t>
  </si>
  <si>
    <t>Other financial information</t>
  </si>
  <si>
    <t>Other matters</t>
  </si>
  <si>
    <t xml:space="preserve">Note 1 </t>
  </si>
  <si>
    <t xml:space="preserve">Each Council to determine functions </t>
  </si>
  <si>
    <t>Update for $</t>
  </si>
  <si>
    <t xml:space="preserve">Council is required to report the operating, capital and competitive neutrality costs in respect of each significant business activity undertaken by the Council. Council's disclosure is reconciled above.   Council has determined, based upon materiality that &lt;Activity&gt; &lt;Activity&gt; as defined above are considered significant business activities. Competitive neutrality costs include notional costs i.e. income tax equivalent, rates and loan guarantees. In preparing the information disclosed in relation to significant business activities, the following assumptions have been applied:
•   
•  
•  </t>
  </si>
  <si>
    <t>Reconciliation of liabilities arising from financing activities</t>
  </si>
  <si>
    <t>Borr Check</t>
  </si>
  <si>
    <t>Associate - &lt;insert details&gt;  (note 4.1)</t>
  </si>
  <si>
    <t>x-ref update, but will need to check your own.    This financial report has been prepared under the historical cost convention, except where specifically stated in notes 4.2, 5.3, 5.5, 6.2, 6.3, 7.3, 8.1 and 10.4(d) .</t>
  </si>
  <si>
    <t>Detail should be included where the council has made judgements, estimates or assumptions that have a significant impact on the carrying value of assets and liabilities.  Examples of judgements, estimates and assumptions include, and are not limited to:</t>
  </si>
  <si>
    <t>Reconciliation of Assets above with the Statement of Financial Position at 30 June:</t>
  </si>
  <si>
    <t>(Dependents = SCI &amp; Note 9.4 C'flow Rec')</t>
  </si>
  <si>
    <t xml:space="preserve">Joint arrangements 1
Provide details of the nature of the Council’s relationship with the joint arrangement, for example describing the nature of the activities of the joint arrangement and whether they are strategic to the entity’s activities.
</t>
  </si>
  <si>
    <t>Joint arrangements 2
Provide details of the nature of the Council’s relationship with the joint arrangement, for example describing the nature of the activities of the joint arrangement and whether they are strategic to the entity’s activities.</t>
  </si>
  <si>
    <t xml:space="preserve"> Councils will need to determine and disclose possible impact of pending standards.</t>
  </si>
  <si>
    <t>AASB 108 para 30 requires the following</t>
  </si>
  <si>
    <t>&lt;Show as part of cash assets where actively used as part of cash management &amp; show here as non-current if used for long-term investment&gt;</t>
  </si>
  <si>
    <t>Management Certification of the Financial Report</t>
  </si>
  <si>
    <t>Change in financial statement layout</t>
  </si>
  <si>
    <t>Note 10.4</t>
  </si>
  <si>
    <t>Input required</t>
  </si>
  <si>
    <t>Layout</t>
  </si>
  <si>
    <t xml:space="preserve">Referencing of linked cells </t>
  </si>
  <si>
    <t xml:space="preserve">Refer to guidance issued by Local Government Division </t>
  </si>
  <si>
    <t>and Tasmanian Audit Office on how to determine Underlying Result.</t>
  </si>
  <si>
    <t>FINANCIAL STATEMENTS PREPARATION AND SUBMISSION CHECKLIST</t>
  </si>
  <si>
    <t>Optional for PPE/AASB116 items under AASB 2015-7, however disclosure is required for Investment in Water Corp as the asset is held to generate future net cash inflows as opposed to service potential. Add other items as required</t>
  </si>
  <si>
    <t>In workshops, seminars, audit committee meetings and general meetings with clients, we have discussed many varied aspects of dealing with related party transactions and fielded many questions.  As a result we prepared a short paper to provide additional guidance and share the responses to queries received.  It can be found on our website under Client Downloads:</t>
  </si>
  <si>
    <t>Financial Statements Preparation and submission checklist</t>
  </si>
  <si>
    <t>Change if rounding to nearest dollar</t>
  </si>
  <si>
    <t xml:space="preserve">Does Council control any entities?
</t>
  </si>
  <si>
    <t>Check the updated note ref</t>
  </si>
  <si>
    <t>Include policy note if policy relevant to council - consideration should be given to special committees of council</t>
  </si>
  <si>
    <r>
      <rPr>
        <b/>
        <sz val="11"/>
        <rFont val="Arial Narrow"/>
        <family val="2"/>
      </rPr>
      <t>(30) When an entity has not applied a new Australian Accounting Standard that has been issued but is not yet effective, the entity shall disclose:</t>
    </r>
    <r>
      <rPr>
        <sz val="11"/>
        <rFont val="Arial Narrow"/>
        <family val="2"/>
      </rPr>
      <t xml:space="preserve"> 
(a) this fact; and 
(b) known or reasonably estimable information relevant to assessing the possible impact that application of the new Australian Accounting Standard will have on the entity’s financial statements in the period of initial application. 
(</t>
    </r>
    <r>
      <rPr>
        <b/>
        <sz val="11"/>
        <rFont val="Arial Narrow"/>
        <family val="2"/>
      </rPr>
      <t>31) In complying with paragraph 30, an entity considers disclosing:</t>
    </r>
    <r>
      <rPr>
        <sz val="11"/>
        <rFont val="Arial Narrow"/>
        <family val="2"/>
      </rPr>
      <t xml:space="preserve"> 
(a) the title of the new Australian Accounting Standard; 
(b) the nature of the impending change or changes in accounting policy; 
(c) the date by which application of the Australian Accounting Standard is required; 
(d) the date as at which it plans to apply the Australian Accounting Standard initially; and
(e) either: 
     (i) a discussion of the impact that initial application of the Australian Accounting Standard is expected to have on the entity’s financial statements; or 
     (ii) if that impact is not known or reasonably estimable, a statement to that effect.
</t>
    </r>
  </si>
  <si>
    <t>AASB 108 para 28 requires the following</t>
  </si>
  <si>
    <r>
      <rPr>
        <b/>
        <sz val="11"/>
        <rFont val="Arial Narrow"/>
        <family val="2"/>
      </rPr>
      <t>(28) When initial application of an Australian Accounting Standard has an effect on the current period or any prior period, would have such an effect except that it is impracticable to determine the amount of the adjustment, or might have an effect on future periods, an entity shall disclose:</t>
    </r>
    <r>
      <rPr>
        <sz val="11"/>
        <rFont val="Arial Narrow"/>
        <family val="2"/>
      </rPr>
      <t xml:space="preserve">
(a) the title of the Australian Accounting Standard;
(b) when applicable, that the change in accounting policy is made in accordance with its transitional provisions;
(c) the nature of the change in accounting policy; 
(d) when applicable, a description of the transitional provisions; (e) when applicable, the transitional provisions that might have an effect on future periods;
(e) when applicable, the transitional provisions that might have an effect on future periods;
(f) for the current period and each prior period presented, to the extent practicable, the amount of the adjustment for each financial statement line item affected;
(g) the amount of the adjustment relating to periods before those presented, to the extent practicable; and;
(h) if retrospective application required by paragraph 19(a) or (b) is impracticable for a particular prior period, or for periods before those presented, the circumstances that led to the existence of that condition and a description of how and from when the change in accounting policy has been applied.
</t>
    </r>
  </si>
  <si>
    <t>TAO Report No.5 of 2013-14 Not mandatory.</t>
  </si>
  <si>
    <t>Property, plant and equipment and infrastructure received in the form of contributions, are recognised as assets and revenues at fair value by Council valuation where that value exceeds the recognition thresholds for the respective asset class. Fair value is the price that would be received to sell the asset in an orderly transaction between market participants at the measurement date.</t>
  </si>
  <si>
    <t>(Update to current year as required)</t>
  </si>
  <si>
    <t>(6)(8)(46)</t>
  </si>
  <si>
    <t xml:space="preserve">Rents (inclusive of GST) </t>
  </si>
  <si>
    <t>Investment revenue from Water Corporation</t>
  </si>
  <si>
    <t>Equity Investment assets</t>
  </si>
  <si>
    <t>Note 9.1 (a)</t>
  </si>
  <si>
    <t>Note 9.1 (b)</t>
  </si>
  <si>
    <t>The result for all categories is within/outside range. A result closer to 60% suggests</t>
  </si>
  <si>
    <t>that council has sufficient service capacity remaining in these asset classes</t>
  </si>
  <si>
    <t>Remember to include commentary against benchmark.</t>
  </si>
  <si>
    <t>For example, Council has set a benchmark of between 40%and 60%</t>
  </si>
  <si>
    <t>For example, Council is/is not investing in new assets in a sustainable manner</t>
  </si>
  <si>
    <t>For example, Council is/is not providing sufficient funding to renew assets in accordance with its asset renewal plans</t>
  </si>
  <si>
    <t>Paragraph 10.4 (h) (i)-to (iv)  outlines new standards</t>
  </si>
  <si>
    <t>Adjustment on change in accounting policies</t>
  </si>
  <si>
    <t>Restated opening balance</t>
  </si>
  <si>
    <t>Provision for expected credit loss - parking infringements</t>
  </si>
  <si>
    <t>Provision for expected credit loss - other debtors</t>
  </si>
  <si>
    <t>Amounts written off during the year</t>
  </si>
  <si>
    <t>Amounts recovered during the year</t>
  </si>
  <si>
    <t>Carrying amount at 1 July</t>
  </si>
  <si>
    <t xml:space="preserve">Reconciliation of movement in expected credit loss </t>
  </si>
  <si>
    <t xml:space="preserve">Carrying amount at 30 June </t>
  </si>
  <si>
    <t>Increase / (decrease) in provision recognised in profit or loss</t>
  </si>
  <si>
    <t>(16)A</t>
  </si>
  <si>
    <t xml:space="preserve">For ageing analysis of trade and other payables, refer to note 9.11 </t>
  </si>
  <si>
    <t>Accumulated Surplus</t>
  </si>
  <si>
    <t>Other                      Reserves</t>
  </si>
  <si>
    <t>Statement</t>
  </si>
  <si>
    <t>https://www.treasury.tas.gov.au/state-grants-commission</t>
  </si>
  <si>
    <t>Equity Investment</t>
  </si>
  <si>
    <t>20(a)(vi)</t>
  </si>
  <si>
    <t>Bank bills</t>
  </si>
  <si>
    <t>Asset Revaluation Reserve</t>
  </si>
  <si>
    <t xml:space="preserve">Fair Value Reserve </t>
  </si>
  <si>
    <t>Note 9.1b</t>
  </si>
  <si>
    <t>Note 9.1c</t>
  </si>
  <si>
    <t>Note 9.1a</t>
  </si>
  <si>
    <t>Figures should line-up with Note 5.2 total debtors</t>
  </si>
  <si>
    <t>AASB 123.Aus 8.1, &amp; Aus 26.1 , AASB 7.18</t>
  </si>
  <si>
    <t>21 / 8</t>
  </si>
  <si>
    <t xml:space="preserve">Impairment of non-financial assets </t>
  </si>
  <si>
    <t>Pending Accounting Standards</t>
  </si>
  <si>
    <t xml:space="preserve">Total                         Equity                  </t>
  </si>
  <si>
    <t>At balance date other debtors representing financial assets were past due but not impaired. These amounts relate to a number of independent customers for whom there is no recent history of default. The ageing of the Council's Trade and Other Receivables was:</t>
  </si>
  <si>
    <t>Introduction</t>
  </si>
  <si>
    <t>All referencing in excel has been updated to assist in linking disclosures.  Preparers should ensure that they are familiar with using the ampersand (&amp;) to join text and cell references.  This uses the concatenate functionality in excel. The ampersand is used within text where the number of characters in a paragraph exceed 255 characters.</t>
  </si>
  <si>
    <t>Designated Equity Instruments Under AASB9 are not recycled through the P&amp;L</t>
  </si>
  <si>
    <t>Expand where Council holds different types of financial assets.</t>
  </si>
  <si>
    <t>Reversals of impairment losses are recognised when ……</t>
  </si>
  <si>
    <t>Short term incentive payments awarded during the current year included:</t>
  </si>
  <si>
    <t>(Include details of transactions that occurred.)</t>
  </si>
  <si>
    <t>Council's approved fees &amp; charges</t>
  </si>
  <si>
    <t>Property, infrastructure, plant and equipment</t>
  </si>
  <si>
    <t>Fair value of property, infrastructure, plant &amp; equipment</t>
  </si>
  <si>
    <t>Property, infrastructure, plant and equipment (cont.)</t>
  </si>
  <si>
    <t>Total property, infrastructure, plant and equipment</t>
  </si>
  <si>
    <t>Reconciliation of property, infrastructure, plant and equipment</t>
  </si>
  <si>
    <t>(Profit)/loss on disposal of property, infrastructure, plant and equipment</t>
  </si>
  <si>
    <t>Certifications</t>
  </si>
  <si>
    <t xml:space="preserve">Net gain/(loss) on disposal of property, infrastructure, plant and equipment. </t>
  </si>
  <si>
    <t>&lt;Where an asset class comprises both level 2 and level 3 assets, the movement in level 3 assets needs to be separately detailed &gt;</t>
  </si>
  <si>
    <t xml:space="preserve">Council has assets and liabilities which are not measured at fair value, but for which fair values are disclosed in other notes. </t>
  </si>
  <si>
    <t>Fair value adjustments on equity investment assets</t>
  </si>
  <si>
    <t>Fair Value adjustment on equity investment assets</t>
  </si>
  <si>
    <t>Opening balance</t>
  </si>
  <si>
    <t>Fair Value adjustments on equity investment assets</t>
  </si>
  <si>
    <t>Aerodromes</t>
  </si>
  <si>
    <t xml:space="preserve">   Land</t>
  </si>
  <si>
    <t xml:space="preserve">   Land under roads</t>
  </si>
  <si>
    <t xml:space="preserve">   Land improvements</t>
  </si>
  <si>
    <t xml:space="preserve">   Buildings</t>
  </si>
  <si>
    <t xml:space="preserve">   Building improvements</t>
  </si>
  <si>
    <t xml:space="preserve">   Heritage buildings</t>
  </si>
  <si>
    <t xml:space="preserve">   Plant, machinery and equipment</t>
  </si>
  <si>
    <t xml:space="preserve">   Fixtures, fittings and furniture</t>
  </si>
  <si>
    <t xml:space="preserve">   Computers and telecommunications</t>
  </si>
  <si>
    <t xml:space="preserve">   Leased plant and equipment</t>
  </si>
  <si>
    <t xml:space="preserve">   Road pavements and seals</t>
  </si>
  <si>
    <t xml:space="preserve">   Road substructure</t>
  </si>
  <si>
    <t xml:space="preserve">   Road formation and earthworks</t>
  </si>
  <si>
    <t xml:space="preserve">   Road kerb, channel and minor culverts</t>
  </si>
  <si>
    <t xml:space="preserve">   Road other &lt;insert details&gt;</t>
  </si>
  <si>
    <t xml:space="preserve">   Bridges deck</t>
  </si>
  <si>
    <t xml:space="preserve">   Bridges substructure</t>
  </si>
  <si>
    <t xml:space="preserve">   Bridges other &lt;insert details&gt;</t>
  </si>
  <si>
    <t xml:space="preserve">   Footpaths and cycleways</t>
  </si>
  <si>
    <t xml:space="preserve">   Drainage</t>
  </si>
  <si>
    <t xml:space="preserve">   Recreational, leisure and community facilities</t>
  </si>
  <si>
    <t xml:space="preserve">   Waste management</t>
  </si>
  <si>
    <t xml:space="preserve">   Parks, open space and streetscapes</t>
  </si>
  <si>
    <t xml:space="preserve">   Off street car parks</t>
  </si>
  <si>
    <t xml:space="preserve">   Other infrastructure &lt;insert details&gt;</t>
  </si>
  <si>
    <t xml:space="preserve">    Cash received</t>
  </si>
  <si>
    <t xml:space="preserve">    Cash repayments</t>
  </si>
  <si>
    <t>•  Australian Accounting Standards and other authoritative pronouncements issued by the Australian Accounting Standards Board</t>
  </si>
  <si>
    <t>Submission Checklist</t>
  </si>
  <si>
    <t>The current Financial Statements Submissions Checklist is available from the client Resources section of the Tasmanian Audit Office website at:</t>
  </si>
  <si>
    <t>Land fill restoration</t>
  </si>
  <si>
    <t>+100 basis points</t>
  </si>
  <si>
    <t>Reference
AASB/LGA</t>
  </si>
  <si>
    <t>Download at:</t>
  </si>
  <si>
    <t>Right-of-use of assets</t>
  </si>
  <si>
    <t>Lease liabilities</t>
  </si>
  <si>
    <t>Right-of-use assets</t>
  </si>
  <si>
    <t>Year 1</t>
  </si>
  <si>
    <t>Year 2</t>
  </si>
  <si>
    <t>Year 3</t>
  </si>
  <si>
    <t>Year 4</t>
  </si>
  <si>
    <t>Year 5</t>
  </si>
  <si>
    <t>Non-Current</t>
  </si>
  <si>
    <t>Effect of changes in accounting policy for:</t>
  </si>
  <si>
    <t>Additions</t>
  </si>
  <si>
    <t xml:space="preserve">53 (a), </t>
  </si>
  <si>
    <t>(h), (j)</t>
  </si>
  <si>
    <t>Term deposits - more than 3 months</t>
  </si>
  <si>
    <t xml:space="preserve">At inception of a contract, Council assesses whether a contract is, or contains a lease. A contract is, or contains a lease if the contract conveys a right to control the use of an identified asset for a period of time in exchange for consideration. 
Council assesses whether:
a. The contract involves the use of an identified asset – The asset may be explicitly or implicitly specified in the contract. A capacity portion of larger assets is considered an identified asset if the portion is physically distinct or if the portion represents substantially all of the capacity of the asset. The asset is not considered an identified asset, if the supplier has the substantive right to substitute the asset throughout the period of use. 
b. The customer has the right to obtain substantially all of the economic benefits from the use of the asset throughout the period of use.
c. The customer has the right to direct the use of the asset throughout the period of use – The customer is considered to have the right to direct the use of the asset only if either: 
i. The customer has the right to direct how and for what purpose the identified asset is used throughout the period of use; or 
ii. The relevant decisions about how and for what purposes the asset is used is predetermined and the customer has the right to operate the asset, or the customer designed the asset in a way that predetermines how and for what purpose the asset will be used throughout the period of use.
</t>
  </si>
  <si>
    <t>Leases - Council as Lessee</t>
  </si>
  <si>
    <t xml:space="preserve">   Right-of-use of assets</t>
  </si>
  <si>
    <t>30-day terms on invoices</t>
  </si>
  <si>
    <t>Manager City Planning</t>
  </si>
  <si>
    <t>Manager Human Resources</t>
  </si>
  <si>
    <t>Name</t>
  </si>
  <si>
    <t>C12(b)</t>
  </si>
  <si>
    <t>AASB 16, para B9</t>
  </si>
  <si>
    <t>51,5,6,60</t>
  </si>
  <si>
    <t>The following table presents the amounts reported in profit or loss:</t>
  </si>
  <si>
    <t>Lease income on operating leases</t>
  </si>
  <si>
    <t>Therein lease income relating to variable lease payments that do not depend on an index or rate</t>
  </si>
  <si>
    <t>90(b)</t>
  </si>
  <si>
    <t>Position</t>
  </si>
  <si>
    <t>Councillor</t>
  </si>
  <si>
    <t>Acting arrangements</t>
  </si>
  <si>
    <t>Sub-total</t>
  </si>
  <si>
    <t>Mr N Fury</t>
  </si>
  <si>
    <t>Mr T Stark</t>
  </si>
  <si>
    <t>Mr S Rogers</t>
  </si>
  <si>
    <t>Ms N Romanoff</t>
  </si>
  <si>
    <t>Mr B Wayne</t>
  </si>
  <si>
    <t>Mr R Grayson</t>
  </si>
  <si>
    <t>Ms B Gordon</t>
  </si>
  <si>
    <t>Individuals are considered members of key management personnel when acting arrangements are for more than a period of one month.</t>
  </si>
  <si>
    <t xml:space="preserve"> [Provide sufficient and relevant information to explain the circumstances surrounding senior executives in acting arrangements]</t>
  </si>
  <si>
    <t xml:space="preserve"> [As above, Salary includes all forms of consideration paid, payable or provided by the entity during the acting period.  Not just the incremental or higher duties amount.]</t>
  </si>
  <si>
    <t>Mr M Flinders</t>
  </si>
  <si>
    <t>Mr B Gordon was granted a cash bonus of $2,000.  The bonus was given on the successful …</t>
  </si>
  <si>
    <t>53(a)</t>
  </si>
  <si>
    <t>Provision for doubtful debts related outstanding balances</t>
  </si>
  <si>
    <t>Full Year</t>
  </si>
  <si>
    <t>a) Right-of-use assets</t>
  </si>
  <si>
    <t>b) Concessionary leases</t>
  </si>
  <si>
    <t>Dependencies on concessionary leases</t>
  </si>
  <si>
    <t>Nature and term of the leases</t>
  </si>
  <si>
    <t>Concessionary leases</t>
  </si>
  <si>
    <t>Depreciation of right-of-use assets</t>
  </si>
  <si>
    <t xml:space="preserve"> $50 000 - $70 000 </t>
  </si>
  <si>
    <t>Note 6 to 8</t>
  </si>
  <si>
    <t>Statement of Cash flows</t>
  </si>
  <si>
    <t>Accounting policy (Cont.)</t>
  </si>
  <si>
    <t>(viii)</t>
  </si>
  <si>
    <t>[Council to insert a detailed description per each material lease or in aggregate for leases involving concessionary right-of-use assets of a similar nature].</t>
  </si>
  <si>
    <t>[Council to insert detailed description per each material lease or in aggregate for leases involving concessionary right-of-use assets of a similar nature regarding lease term, lease payments, description of underlying asset and restrictions of use].</t>
  </si>
  <si>
    <t>Check Balance</t>
  </si>
  <si>
    <t>49, 53(b)</t>
  </si>
  <si>
    <t>6,53(c)</t>
  </si>
  <si>
    <t>6,53(d)</t>
  </si>
  <si>
    <t>6,53(e)</t>
  </si>
  <si>
    <t>Exposure from variable lease payments</t>
  </si>
  <si>
    <t>[Describe the payments and consider elaborating on the effect on future years basis the trend / split of fixed to variable payments in the current year and expected movements in the future]</t>
  </si>
  <si>
    <t>Exposure from extension options and termination options</t>
  </si>
  <si>
    <t>[Describe the options and consider elaborating on the effect on future years i.e. potential cash flows if the options now considered as not reasonably certain of being exercised, are exercised]</t>
  </si>
  <si>
    <t>Exposure from residual value guarantees</t>
  </si>
  <si>
    <t>[Describe the exposure to residual value guarantees]</t>
  </si>
  <si>
    <t>Restrictions and covenants imposed by leases</t>
  </si>
  <si>
    <t>[Describe the restrictions and covenants imposed by leases]</t>
  </si>
  <si>
    <t>Sale and leaseback transactions</t>
  </si>
  <si>
    <t>[Describe the sale and leaseback transactions]</t>
  </si>
  <si>
    <t>59(d)</t>
  </si>
  <si>
    <t>59(b)(i)</t>
  </si>
  <si>
    <t>59(b)(ii)</t>
  </si>
  <si>
    <t>59(b)(iii)</t>
  </si>
  <si>
    <t>59(c)</t>
  </si>
  <si>
    <t>59(b)(iv)</t>
  </si>
  <si>
    <t>Exposure from leases not yet commenced but committed</t>
  </si>
  <si>
    <t>[Describe the leases which have not yet commenced but have been committed to]</t>
  </si>
  <si>
    <t>2-3</t>
  </si>
  <si>
    <t>3-4</t>
  </si>
  <si>
    <t>4-5</t>
  </si>
  <si>
    <t>After 5</t>
  </si>
  <si>
    <t>Years</t>
  </si>
  <si>
    <t>Within 1</t>
  </si>
  <si>
    <t>Year</t>
  </si>
  <si>
    <t>Lease payments</t>
  </si>
  <si>
    <t>Finance charges</t>
  </si>
  <si>
    <t>Net present value</t>
  </si>
  <si>
    <t>Minimum lease payments due</t>
  </si>
  <si>
    <t>Lease Check</t>
  </si>
  <si>
    <t>Remember Interest component is included in Finance Costs in Note 3.5</t>
  </si>
  <si>
    <t>[Insert table]</t>
  </si>
  <si>
    <t>Expenses are recognised in the Statement of Comprehensive Income when a decrease in future economic benefits related to a decrease in an asset, or an increase of a liability has arisen that can be measured reliably.</t>
  </si>
  <si>
    <t xml:space="preserve">Accounting policy </t>
  </si>
  <si>
    <t>Insert policy on other items as required…</t>
  </si>
  <si>
    <t>ii) Represents grant funding received in advance until specific performance obligations required under funding arrangements are completed.</t>
  </si>
  <si>
    <t>Add others and references</t>
  </si>
  <si>
    <t>Update comments to suit.</t>
  </si>
  <si>
    <t xml:space="preserve">Rents are recognised as revenue when the payment is due. Rental payments received in advance are recognised as a payable until they are due.  </t>
  </si>
  <si>
    <t>114c(iv)</t>
  </si>
  <si>
    <t>Unwinding of rehabilitation liability</t>
  </si>
  <si>
    <t>Interest - borrowings</t>
  </si>
  <si>
    <t>Interest - lease liabilities</t>
  </si>
  <si>
    <t>Sport and recreation reserve</t>
  </si>
  <si>
    <t>Property, infrastructure, plant and equipment (continued)</t>
  </si>
  <si>
    <t xml:space="preserve"> Reconciliation of property, infrastructure, plant and equipment (continued)</t>
  </si>
  <si>
    <t>[E.g. Council includes options in the XXX leases to provide flexibility and certainty to Council operations and ..........
At commencement date and each subsequent reporting date, Council assesses where it is reasonably certain that the extension options will be exercised.
There are $XXX,000 in potential future lease payments which are not included in lease liabilities as Council has assessed that the exercise of the option is not reasonably certain.]</t>
  </si>
  <si>
    <t>Describe and quantify where these exposures apply.</t>
  </si>
  <si>
    <t>Superannuation (Continued)</t>
  </si>
  <si>
    <t>Fair Value Measurements (Continued)</t>
  </si>
  <si>
    <t>Fair Value Hierarchy (Continued)</t>
  </si>
  <si>
    <t>Valuation techniques and significant inputs used to derive fair values (Continued)</t>
  </si>
  <si>
    <t>Related party transactions (Continued)</t>
  </si>
  <si>
    <t>Key Management Personnel Remuneration (Continued)</t>
  </si>
  <si>
    <t>Interests in other entities (Continued)</t>
  </si>
  <si>
    <t>Functions/Activities of the Council (Continued)</t>
  </si>
  <si>
    <t>Items that will not be reclassified subsequently to net result</t>
  </si>
  <si>
    <t>[Specify details - gain/loss on…]</t>
  </si>
  <si>
    <t>Provisions (Continued)</t>
  </si>
  <si>
    <t>Lease liabilities (Continued)</t>
  </si>
  <si>
    <t>Grants (Continued)</t>
  </si>
  <si>
    <t>Council recognises revenue from rates and annual charges for the amount it is expected to be entitled to at the beginning of the rating period to which they relate, or when the charge has been applied. Rates and charges in advance are recognised as a financial liability until the beginning of the rating period to which they relate.</t>
  </si>
  <si>
    <t>Where an upfront fee is charged such as membership fees for the leisure centre, the fee is recognised on a straight-line basis over the expected life of the membership.</t>
  </si>
  <si>
    <t>Licences granted by Council are all either short-term or low value and all revenue is recognised at the time that the licence is granted rather than the term of the licence.</t>
  </si>
  <si>
    <t>Contract Liabilities</t>
  </si>
  <si>
    <t>Contract liabilities</t>
  </si>
  <si>
    <t>Funds received prior to performance obligation being satisfied (Upfront payments)</t>
  </si>
  <si>
    <t>Contract assets</t>
  </si>
  <si>
    <t>Council recognised the following contact assets with customers:</t>
  </si>
  <si>
    <t>Council recognises a contractual asset for work in progress where a performance obligation is satisfied by transferring a promised good or service to the customer, before the customer pays consideration or the payment is due. Contractual assets are transferred to receivables when the right to receive payment becomes unconditional.</t>
  </si>
  <si>
    <t>Interest received</t>
  </si>
  <si>
    <t>Finance costs paid</t>
  </si>
  <si>
    <t>Repayment of lease liabilities (principal repayments)</t>
  </si>
  <si>
    <t>Finance costs include interest on bank overdrafts, borrowings, leases and unwinding of discounts.</t>
  </si>
  <si>
    <t>Volunteer services</t>
  </si>
  <si>
    <t>Council recognises the inflow of resources in the form of volunteer services where the fair value of those services can be reliably measured and Council would have purchased those services if they had not been donated.</t>
  </si>
  <si>
    <t>Also represented in Materials and services below Note 3.2</t>
  </si>
  <si>
    <t>18-22</t>
  </si>
  <si>
    <t>Also represents the matching expenditure for the Contribution of Volunteer services in Note 2.5</t>
  </si>
  <si>
    <t>Also represents the matching expenditure for Volunteer services in Note 2.7 - Other income</t>
  </si>
  <si>
    <t>B11D(a)</t>
  </si>
  <si>
    <t>35C</t>
  </si>
  <si>
    <t>Investments</t>
  </si>
  <si>
    <t>Payments for investments</t>
  </si>
  <si>
    <t>Check to Receivables Note</t>
  </si>
  <si>
    <t>Check to Cash Note</t>
  </si>
  <si>
    <t>Check to Investments - Add others if needed</t>
  </si>
  <si>
    <t>Proceeds from trust funds and deposits</t>
  </si>
  <si>
    <t>Proceeds from sale of investments</t>
  </si>
  <si>
    <t>Net GST refund/(payment)</t>
  </si>
  <si>
    <t>Table of contents has been updated for all notes, but will need to be reviewed and adjusted to suit each individual council.</t>
  </si>
  <si>
    <t>Major depreciation and amortisation periods used are listed below and are consistent with the prior year unless stated:</t>
  </si>
  <si>
    <t>Significant Changes this Year to the Local Government Model Financial Report</t>
  </si>
  <si>
    <t>[Presentation format follows that used by all Government Businesses and Departmental Statements]</t>
  </si>
  <si>
    <t>The example threshold  here is based on that set for Departments in FC-19</t>
  </si>
  <si>
    <t>Confirm your rate - 0% was the recommended rate as noted below.</t>
  </si>
  <si>
    <t>(iii)</t>
  </si>
  <si>
    <t xml:space="preserve">(iv) </t>
  </si>
  <si>
    <t>(v)</t>
  </si>
  <si>
    <t>Note 5</t>
  </si>
  <si>
    <t>Current replacement cost (Gross)</t>
  </si>
  <si>
    <t>Fair value (Carrying amount)</t>
  </si>
  <si>
    <t>Removal of Reference to Depreciated Replacement Cost</t>
  </si>
  <si>
    <t>7, 8 &amp; 9</t>
  </si>
  <si>
    <r>
      <t>25,27&amp;</t>
    </r>
    <r>
      <rPr>
        <sz val="11.5"/>
        <color rgb="FF0000FF"/>
        <rFont val="Arial Narrow"/>
        <family val="2"/>
      </rPr>
      <t>117</t>
    </r>
  </si>
  <si>
    <t>Low-value leases</t>
  </si>
  <si>
    <t xml:space="preserve">Short term leases of 12 months or less </t>
  </si>
  <si>
    <t>Depreciation expense</t>
  </si>
  <si>
    <t xml:space="preserve">although aligns with LGA 84c
</t>
  </si>
  <si>
    <t>A significant increase on budget of $XXX,XXXX, (XX%) due mainly to contributions made of $XXX,XXX for bicentennial celebrations approved after the budget finalisation.</t>
  </si>
  <si>
    <t>Commonwealth Government Financial Assistance Grants - General Purpose (Untied)</t>
  </si>
  <si>
    <t>Untied</t>
  </si>
  <si>
    <t>AASB 1058.28</t>
  </si>
  <si>
    <t>Non-financial assets</t>
  </si>
  <si>
    <t>Add: Funds recognised as revenue in the reporting year but not yet spent in accordance with the conditions</t>
  </si>
  <si>
    <t>Capital</t>
  </si>
  <si>
    <t>Operating</t>
  </si>
  <si>
    <t>CF Mvt</t>
  </si>
  <si>
    <t>Balance of unspent funds at 1 July</t>
  </si>
  <si>
    <t>Balance of unspent funds at 30 June</t>
  </si>
  <si>
    <t>Add: Funds received and not recognised as revenue in the current year</t>
  </si>
  <si>
    <t>Less: Funds recognised as revenue in previous years that have been spent during the reporting year</t>
  </si>
  <si>
    <t>Less: Funds received in prior year but revenue recognised and funds spent in current year</t>
  </si>
  <si>
    <t>28-30</t>
  </si>
  <si>
    <t>Non-contractual income arising from statutory requirements</t>
  </si>
  <si>
    <t>Upfront fees - Leisure centre</t>
  </si>
  <si>
    <t>iii) Upfront membership fees for the leisure centre do not meet the definition of a performance obligation and therefore the funds received are recorded as a contract liability on receipt and recognised as revenue over the expected average membership life.</t>
  </si>
  <si>
    <t>Grants and contributions which were obtained on the condition that they be spent for specified purposes or in a future period, but which are not yet spent in accordance with those conditions, are as follows:</t>
  </si>
  <si>
    <t>Unspent grants and contributions</t>
  </si>
  <si>
    <t>Check to Note 9.2</t>
  </si>
  <si>
    <t>Commonwealth Government Financial Assistance Grants - Roads (Untied)</t>
  </si>
  <si>
    <t>For construction projects, this is generally as the construction progresses in accordance with costs incurred, since this is deemed to be the most appropriate measure of the completeness of the construction project as there is no profit margin. For the acquisitions of assets, revenue is recognised when the asset is acquired and controlled by the Council.</t>
  </si>
  <si>
    <t>Revenue recognised that was included in the contract liability balance at the beginning of the period</t>
  </si>
  <si>
    <t>Funds to construct Council controlled assets</t>
  </si>
  <si>
    <t>Funds received prior to performance obligation being satisfied (upfront payments) – AASB 15</t>
  </si>
  <si>
    <t>Deposits received in advance of services provided (e.g. caravan park fees, hire fees)</t>
  </si>
  <si>
    <t>Upfront fees – leisure centre</t>
  </si>
  <si>
    <t>31,33</t>
  </si>
  <si>
    <t>116-118</t>
  </si>
  <si>
    <r>
      <t xml:space="preserve">AASB 1058.31
An entity shall disclose the </t>
    </r>
    <r>
      <rPr>
        <sz val="11"/>
        <color rgb="FF0000FF"/>
        <rFont val="Arial"/>
        <family val="2"/>
      </rPr>
      <t>opening and closing balances</t>
    </r>
    <r>
      <rPr>
        <sz val="11"/>
        <rFont val="Arial"/>
        <family val="2"/>
      </rPr>
      <t xml:space="preserve"> of financial assets arising from transfers to enable an entity to acquire or construct recognisable non-financial assets to be controlled by the entity and the associated liabilities arising from such transfers, if not otherwise separately presented or disclosed. </t>
    </r>
    <r>
      <rPr>
        <sz val="11"/>
        <color rgb="FF0000FF"/>
        <rFont val="Arial"/>
        <family val="2"/>
      </rPr>
      <t xml:space="preserve">An entity shall also disclose income recognised in the reporting period arising from the reduction of an associated liability.
</t>
    </r>
    <r>
      <rPr>
        <sz val="11"/>
        <rFont val="Arial"/>
        <family val="2"/>
      </rPr>
      <t xml:space="preserve">
AASB15.116
An entity shall disclose all of the following:
(a) the </t>
    </r>
    <r>
      <rPr>
        <sz val="11"/>
        <color rgb="FF0000FF"/>
        <rFont val="Arial"/>
        <family val="2"/>
      </rPr>
      <t>opening and closing balances</t>
    </r>
    <r>
      <rPr>
        <sz val="11"/>
        <rFont val="Arial"/>
        <family val="2"/>
      </rPr>
      <t xml:space="preserve"> of receivables, contract assets and contract liabilities from 
contracts with customers, if not otherwise separately presented or disclosed;
(</t>
    </r>
    <r>
      <rPr>
        <sz val="11"/>
        <color rgb="FF0000FF"/>
        <rFont val="Arial"/>
        <family val="2"/>
      </rPr>
      <t>b) revenue recognised in the reporting period that was included in the contract liability balance at 
the beginning of the period; and
(c) revenue recognised in the reporting period from performance obligations satisfied (or partially 
satisfied) in previous periods (for example, changes in transaction price)</t>
    </r>
  </si>
  <si>
    <t>(Includes Cash Payments and​ Quarterly Payment Breakdown)</t>
  </si>
  <si>
    <t>If the transaction is a transfer of a financial asset to enable Council to acquire or construct a recognisable non-financial asset to be controlled by Council (i.e. an in-substance acquisition of a non-financial asset), a contract liability is recognised for the excess of the fair value of the transfer over any related amounts recognised and revenue as the unspent funds are expended at the point in time at which required performance obligations are completed.</t>
  </si>
  <si>
    <t>116-120</t>
  </si>
  <si>
    <t>31-36</t>
  </si>
  <si>
    <t xml:space="preserve">Other </t>
  </si>
  <si>
    <t xml:space="preserve">Where leases are commercial agreements, but properties leased are part of properties predominantly used by Council for its own purposes, Council records lease revenue on an accruals basis and records the associated properties as part of land and buildings within property, plant and equipment. Buildings are recognised at current replacement cost. </t>
  </si>
  <si>
    <t>&lt;&lt;OR&gt;&gt;
Where leases are commercial agreements, but properties leased are part of properties predominantly used by Council for its own purposes, Council records lease revenue on an accruals basis and records the associated properties as part of land and buildings within property, plant and equipment. Buildings are recognised at current replacement cost.</t>
  </si>
  <si>
    <t xml:space="preserve">Maturity analysis of operating lease payments to be received </t>
  </si>
  <si>
    <t>Later than 5 years</t>
  </si>
  <si>
    <t>The future (undiscounted) lease payments to be received on an annual basis for all operating leases is at follows:</t>
  </si>
  <si>
    <t>Council holds investment properties leased that are used for leasing to third parties. Council records lease revenue on an accruals basis in accordance with lease agreements.</t>
  </si>
  <si>
    <t>Lease income</t>
  </si>
  <si>
    <t>Lease Income</t>
  </si>
  <si>
    <t>Operating lease revenue from the use of Council's assets is recorded on an accruals basis in accordance with leasing arrangements.</t>
  </si>
  <si>
    <t>15,1058</t>
  </si>
  <si>
    <t>Notes 2 to 5</t>
  </si>
  <si>
    <t>No change</t>
  </si>
  <si>
    <t>44D</t>
  </si>
  <si>
    <t>For ageing analysis of the financial assets, refer to note 9.11(d)</t>
  </si>
  <si>
    <t xml:space="preserve">The consolidated financial statements include the financial position and performance of controlled entities from the date on which controls is obtained until the date that control is lost. Intragroup assets, liabilities, equity, income, expenses and cashflows relating to transaction between entities in the consolidated entity have been eliminated in full for the purpose of these financial statements. Appropriate adjustments have been made to a controlled entity’s financial position, performance and cash flows where the accounting policies used by that entity were different from those adopted by the consolidated entity. All controlled entities have a June financial year end. A list of controlled entities is contained in note 10.1 to the financial statements. </t>
  </si>
  <si>
    <t xml:space="preserve">   Leasehold improvements</t>
  </si>
  <si>
    <t xml:space="preserve">  Plant, machinery and equipment</t>
  </si>
  <si>
    <t xml:space="preserve">  Fixtures, fittings and furniture</t>
  </si>
  <si>
    <t xml:space="preserve">  Computers and telecommunications</t>
  </si>
  <si>
    <t xml:space="preserve">  Leased plant and equipment</t>
  </si>
  <si>
    <t xml:space="preserve">  Road pavements and seals</t>
  </si>
  <si>
    <t xml:space="preserve">  Road substructure</t>
  </si>
  <si>
    <t xml:space="preserve">  Road formation and earthworks</t>
  </si>
  <si>
    <t xml:space="preserve">  Road kerb, channel and minor culverts</t>
  </si>
  <si>
    <t xml:space="preserve">  Road other &lt;insert details&gt;</t>
  </si>
  <si>
    <t xml:space="preserve">   Intangible assets</t>
  </si>
  <si>
    <t xml:space="preserve">   Other  &lt;insert details&gt;</t>
  </si>
  <si>
    <t>admin@audit.tas.gov.au</t>
  </si>
  <si>
    <t>Email link</t>
  </si>
  <si>
    <t>Note 2.5</t>
  </si>
  <si>
    <t>Contributions (inclusive of GST)</t>
  </si>
  <si>
    <t xml:space="preserve">Other Investments    </t>
  </si>
  <si>
    <t xml:space="preserve">Other Investments   </t>
  </si>
  <si>
    <t>41-49</t>
  </si>
  <si>
    <t>49(a)</t>
  </si>
  <si>
    <t>Published financial statements</t>
  </si>
  <si>
    <t>Correction of error</t>
  </si>
  <si>
    <t>Restated actuals</t>
  </si>
  <si>
    <t>Financial statement line items affected</t>
  </si>
  <si>
    <t>Statement of financial position</t>
  </si>
  <si>
    <t>Buildings – at fair value</t>
  </si>
  <si>
    <t>Accumulated depreciation – buildings</t>
  </si>
  <si>
    <t>Total property, plant and equipment</t>
  </si>
  <si>
    <t>Total investment property</t>
  </si>
  <si>
    <t>Total equity</t>
  </si>
  <si>
    <t>Statement of comprehensive income</t>
  </si>
  <si>
    <t>Gain on revaluation of investment property</t>
  </si>
  <si>
    <t>Depreciation</t>
  </si>
  <si>
    <t>Operating result for the year</t>
  </si>
  <si>
    <t>Increase in reserves</t>
  </si>
  <si>
    <t>Gain on disposal/revaluation of assets</t>
  </si>
  <si>
    <t>Correction of prior period error</t>
  </si>
  <si>
    <t>110 (49)</t>
  </si>
  <si>
    <t>An error, made in a prior reporting period, must be corrected by amending the comparative figures presented in the Financial Report. Where the error occurred in a period preceding the comparative year, the opening balance of equity is adjusted. Where an error is discovered, disclose the nature of the error.
In the notes, disclose the amount of the correction of the error relating to prior reporting periods, including:
- each line item affected; and
- the amount and the amount of the correction to retained profits or accumulated losses at the start of the earliest reporting period presented.</t>
  </si>
  <si>
    <t>https://www.audit.tas.gov.au/resources/</t>
  </si>
  <si>
    <t>Prior period errors</t>
  </si>
  <si>
    <t>Councillor 2, 3, 4,..</t>
  </si>
  <si>
    <t>Print these pages as normal.</t>
  </si>
  <si>
    <t>Table Reformatted fixing font size issues</t>
  </si>
  <si>
    <t>35A</t>
  </si>
  <si>
    <t>Guidance Comments</t>
  </si>
  <si>
    <t>Also see the General Comments section on the "Background" worksheet.</t>
  </si>
  <si>
    <t>000's</t>
  </si>
  <si>
    <t>if applicable</t>
  </si>
  <si>
    <t xml:space="preserve">Garbage collection contract </t>
  </si>
  <si>
    <t>Developer contributions to be received in respect of estates currently under development total $&lt;&gt; (2020-21, $&lt;&gt;).</t>
  </si>
  <si>
    <t>- Land under roads</t>
  </si>
  <si>
    <t>Council's interests in subsidiaries, associates and joint ventures are detailed in note 10.3</t>
  </si>
  <si>
    <t>Material joint ventures (JV)</t>
  </si>
  <si>
    <t>Remember - Rates and charges in advance - are in Note 7.1</t>
  </si>
  <si>
    <t>Roads to recovery can be Capital or Maintenance, allocate according to project and spend.</t>
  </si>
  <si>
    <t>Cash Flow Mvt</t>
  </si>
  <si>
    <t xml:space="preserve">Right-of-use assets are depreciated over the shorter period of lease term and useful life of the underlying asset. If a lease transfers ownership of the underlying asset or the cost of the right-of-use asset reflects that the Group expects to exercise a purchase option, the related right-of-use asset is depreciated over the useful life of the underlying asset. The depreciation starts at the commencement date of the lease. </t>
  </si>
  <si>
    <t>&lt;&lt;For concessionary leases, council will need to insert same table and disclosure as per above, including: amounts recognised in the income statement, maturity analysis – undiscounted contractual cash flows, nature of leasing activities as a lessee, potential exposure to future cash flows not reflected in the measurement of lease liability, amounts recognised in Statement of Cash Flows.&gt;&gt;</t>
  </si>
  <si>
    <t>Comparative year  required</t>
  </si>
  <si>
    <t xml:space="preserve">The Sport and recreation reserve was established to control contributions received from developers that will, upon completion of developments be utilised to develop recreation and other facilities for residents in the respective development areas. </t>
  </si>
  <si>
    <t>79(b)</t>
  </si>
  <si>
    <t>Total carrying amount as per the 
Statement of Financial Position</t>
  </si>
  <si>
    <t>-100 basis points</t>
  </si>
  <si>
    <t>Note 9.12 &amp; 9.13</t>
  </si>
  <si>
    <t>9.12(c)</t>
  </si>
  <si>
    <t>To 30/11/21</t>
  </si>
  <si>
    <t>Manager Planning</t>
  </si>
  <si>
    <t>1/07/21 to 29/11/21</t>
  </si>
  <si>
    <t>Acting Manager XYZ</t>
  </si>
  <si>
    <t>- In the current year, Mr M Flinders was appointed to the above positions, whilst Mr X was on extended leave.</t>
  </si>
  <si>
    <t>Mr R Grayson' appointment concluded effective 30 November 2021 and he was paid $10,000 representing the balance of his accrued annual and long service leave entitlements, plus three months salary in lieu of notice of $25,000.</t>
  </si>
  <si>
    <t>Capital renewal expenditure</t>
  </si>
  <si>
    <t>&lt;Update as required, including an explanation of assessment of likely impact of pending standard&gt;</t>
  </si>
  <si>
    <t>&lt;Update as required, including an explanation of assessment of likely impact&gt;</t>
  </si>
  <si>
    <t>10.4 g &amp; h</t>
  </si>
  <si>
    <t>Adoption of new and amended accounting standards / Pending Accounting Standards</t>
  </si>
  <si>
    <t>Update to suit your situation. Either Original Budgets or revised Estimates per LGA 82(4) &amp; (5)</t>
  </si>
  <si>
    <r>
      <t xml:space="preserve">Q- Are the related party disclosures in the model standards mandatory?
A= Not yet, the Director of Local Government is yet to make the Local Government Model Financial Report mandatory, noting that this requirement is an outcome of the </t>
    </r>
    <r>
      <rPr>
        <i/>
        <sz val="11"/>
        <rFont val="Arial"/>
        <family val="2"/>
      </rPr>
      <t>Local Government Amendment (Targeted Review) Act 2017,</t>
    </r>
    <r>
      <rPr>
        <sz val="11"/>
        <rFont val="Arial"/>
        <family val="2"/>
      </rPr>
      <t xml:space="preserve"> however the commencement date has yet to be proclaimed. The presentation format included at Note 10.1 follows that used by all Government Businesses and Departmental Statements.  It presents that of best practice and includes disclosure requirements to meet the existing requirements of the </t>
    </r>
    <r>
      <rPr>
        <i/>
        <sz val="11"/>
        <rFont val="Arial"/>
        <family val="2"/>
      </rPr>
      <t>Local Government Act 1993,</t>
    </r>
    <r>
      <rPr>
        <sz val="11"/>
        <rFont val="Arial"/>
        <family val="2"/>
      </rPr>
      <t xml:space="preserve"> the </t>
    </r>
    <r>
      <rPr>
        <i/>
        <sz val="11"/>
        <rFont val="Arial"/>
        <family val="2"/>
      </rPr>
      <t>Audit Act 2008</t>
    </r>
    <r>
      <rPr>
        <sz val="11"/>
        <rFont val="Arial"/>
        <family val="2"/>
      </rPr>
      <t xml:space="preserve"> and Australian Accounting Standards (AASs).</t>
    </r>
  </si>
  <si>
    <r>
      <t>Where no relevant pending standards are identified, Councils should note that:
"</t>
    </r>
    <r>
      <rPr>
        <i/>
        <sz val="11.5"/>
        <color rgb="FF0000FF"/>
        <rFont val="Arial Narrow"/>
        <family val="2"/>
      </rPr>
      <t>In the current year, Council has reviewed and assessed all the new accounting standards and interpretations that have been published, with future effective dates, and determined they are either not applicable to Council's activities, or would have no material impact.</t>
    </r>
    <r>
      <rPr>
        <sz val="11.5"/>
        <color rgb="FF0000FF"/>
        <rFont val="Arial Narrow"/>
        <family val="2"/>
      </rPr>
      <t>" 
&lt;&lt;The following paragraph is not required if this comment is included&gt;&gt;</t>
    </r>
  </si>
  <si>
    <t>Councils should also consider other relevant new or amending standards that have been issued, but are not yet effective not included in the above.  This includes a requirement to consider other issued additional new or amending standards up until the completion of the audit of the financial report.</t>
  </si>
  <si>
    <t>Councils should update the wording here to suite. For example, if a Revised Estimate is adopted by an absolute majority inline with LGA 82.4</t>
  </si>
  <si>
    <t>The following are examples only - in discussions of variances, consider changes to original budget as well as variances from budget.</t>
  </si>
  <si>
    <t>A description is required as to the nature and purpose of each reserve within the equity</t>
  </si>
  <si>
    <r>
      <t>○ AASB 15</t>
    </r>
    <r>
      <rPr>
        <i/>
        <sz val="10.5"/>
        <color rgb="FF0000FF"/>
        <rFont val="Arial"/>
        <family val="2"/>
      </rPr>
      <t xml:space="preserve"> Revenue from Contracts with Customers</t>
    </r>
  </si>
  <si>
    <t>Add asset classes to match those adopted by Council and insert commentary on result against benchmark</t>
  </si>
  <si>
    <t>There are no major changes to the Local Government Model Financial Report related to the adoption of new accounting standards. The most noteworthy changes are listed below followed by some general comments to answer some common queries received.</t>
  </si>
  <si>
    <t xml:space="preserve">The &lt;Entity Name&gt; was established on &lt;date&gt; and is a body corporate with perpetual succession and a common seal.
Council's main office is located at &lt;address&gt;.  </t>
  </si>
  <si>
    <t>AASB1058 requires the disclosure of opening and closing balances of financial assets arising from transfers to enable an entity to acquire or construct recognisable non-financial assets to be controlled by the entity and the associated liabilities arising from such transfers. This includes disclosure relating to the obligations and movements under such transfers. 
AASB15 also requires an explanation of significant changes in contractual requirements.
This includes the disclosure of the aggregate amount of the transaction price allocated to the performance obligations that are unspent or unsatisfied (or partially) as of the end of the reporting period.
The inclusion of the qualitative and quantitative information both here and at Note 7.5 aims to now meet those disclosure requirements .
Details of unspent funds has been included here while revenue recognition disclosure requirements from contract liabilities is included at Note 7.5.  The unspent funds total also links to restricted funds presented below Cash and cash equivalents at Note 4.2.</t>
  </si>
  <si>
    <t xml:space="preserve">With application of new accounting standard AASB 1058;
A transfer of a financial asset to enable Council to acquire or construct a recognisable non-financial asset for its own use is one that: 
(i) requires Council to use that financial asset to acquire or construct a non-financial asset to identified specifications 
(ii) it does not require Council to transfer the non-financial asset to the transferor or other parties and 
(iii) it occurs under an enforceable agreement
For each obligation Council determines whether the obligation would be satisfied over time or at a point in time.  Where obligations are recognised over time Council measures its progress towards completion of the obligation at the end of each reporting period. All other obligations are recognised at the point in time of delivery or completion.
</t>
  </si>
  <si>
    <t xml:space="preserve">Variable lease payments not included in the measurement of leases </t>
  </si>
  <si>
    <t xml:space="preserve">Council uses &lt;insert appropriate valuation basis&gt; as the basis of valuation of all properties within the municipality. The &lt;valuation base&gt; of a property is its &lt;insert brief explanation of the valuation base&gt;. </t>
  </si>
  <si>
    <t>Each performance obligation is considered to ensure that the revenue recognition reflects the transfer of control. Within grant agreements there may be some performance obligations where control transfers at a point in time and others which have a continuous transfer of control over the life of the contract. Where control is transferred over time, generally the input methods being either costs or time incurred are deemed to be the most appropriate methods to reflect the transfer of benefit.</t>
  </si>
  <si>
    <t>Council recognises contributions without performance obligations when received. In cases where the contributions is for a specific purpose to acquire or construct a recognisable non-financial asset, a liability is recognised for funds received in advance and income recognised as obligations are fulfilled.</t>
  </si>
  <si>
    <t>Dividend revenue is recognised when Council's right to receive payment is established and it can be reliably measured.</t>
  </si>
  <si>
    <t xml:space="preserve">Routine maintenance, repair costs, and minor renewal costs are expensed as incurred.  Where the repair relates to the replacement of a component of an asset and the cost exceeds the capitalisation threshold the cost is capitalised and depreciated. The carrying value of the replaced asset is expensed. </t>
  </si>
  <si>
    <t>Land improvements, buildings, infrastructure, plant and equipment and other assets having limited useful lives are systematically depreciated over their useful lives to Council in a manner which reflects consumption of the service potential embodied in those assets. Right-of-use assets are amortised over the lease term. Estimates of remaining useful lives and residual values are made on a regular basis with major asset classes reassessed annually. Depreciation and amortisation rates and methods are reviewed annually.</t>
  </si>
  <si>
    <t>Finance costs are expensed as incurred using the effective interest method. Borrowing costs include interest on bank overdrafts, borrowings, leases and unwinding of discounts.</t>
  </si>
  <si>
    <t>Internal auditors' remuneration (internal audit services - &lt;name of external provider&gt;)</t>
  </si>
  <si>
    <t>Trade receivables that do not contain a significant financing component are measured at amortised cost, which represents their transaction value. Impairment is recognised on an expected credit loss (ECL) basis. When determining whether the credit risk has increased significantly since initial recognition, and when estimating the ECL, Council considers reasonable and supportable information that is relevant and available without undue cost or effort. This includes both quantitative and qualitative information and analysis based on Council’s historical experience, an informed credit assessment and forward-looking information. Council has established a provision matrix to facilitate the impairment assessment.
For rate debtors, Council takes the view that unpaid rates represent a charge against the rateable property that will be recovered when the property is next sold. For non-rate debtors, Council uses the presumptions that assets more than 30 days past due have a significant increase in credit risk and those more than 90 days will likely be in default. Council writes off receivables when there is information indicating that the debtor is in severe financial difficulty and there is no realistic prospect of recovery.</t>
  </si>
  <si>
    <t>Investment in financial assets with cash flows that are not solely payments of principal and interest are classified and measured at fair value through profit or loss, irrespective of the business model. As Council's Managed funds are actively managed and their performance is evaluated on a fair value basis, these investments are mandatorily required to be measured at fair value through profit or loss.</t>
  </si>
  <si>
    <t>&lt;Councils should consider their own reasons for holding financial assets. Where the business model is only to hold financial assets for principle and interest, the asset should be measured at amortised cost. Where the business model is to hold the financial asset for principal and interest and to sell, the financial asset should be classified as fair value through other comprehensive income, with recycling through the profit or loss on derecognition. Where different types of financial assets are held, councils will need to ensure appropriate descriptions of  business models (policy) are disclosed along with the measurement basis.&gt;</t>
  </si>
  <si>
    <t>Inventories held for distribution are measured at cost adjusted when applicable for any loss of service potential. Other inventories are measured at the lower of cost and net realisable value. Where inventories are acquired at no cost, or for nominal consideration, the cost shall be the current replacement cost as at the date of acquisition.</t>
  </si>
  <si>
    <t>Council's investment in associates is accounted for by the equity method as Council has the ability to influence rather than control the operations of the entities. The investment is initially recorded at the cost of acquisition and adjusted thereafter for post-acquisition changes in Council's share of the net assets of the entities. Council's share of the financial result of the entities is recognised in the Statement of Comprehensive Income.</t>
  </si>
  <si>
    <t xml:space="preserve">Fair value valuations are determined in accordance with a valuation hierarchy. Changes to the valuation hierarchy will only occur if an external change in the restrictions or limitations of use on an asset result in changes to the permissible or practical highest and best use of the asset. </t>
  </si>
  <si>
    <t>Where the assets are revalued, the revaluation increments are credited directly to the asset revaluation reserve except to the extent that an increment reverses a prior year decrement for that class of asset that had been recognised as an expense in which case the increment is recognised as revenue up to the amount of the expense. Revaluation decrements are recognised as an expense except where prior increments are included in the asset revaluation surplus for that class of asset in which case the decrement is taken to the reserve to the extent of the remaining increments. Within the same class of assets, revaluation increments and decrements within the year are offset.</t>
  </si>
  <si>
    <t>Land under roads acquired after 30 June 2008 is brought to account at cost and subsequently revalued on a fair value basis. Council does not recognise land under roads that it controlled prior to that period.</t>
  </si>
  <si>
    <t>Council recognised the following contractual liabilities:</t>
  </si>
  <si>
    <t>iii) Upfront payments of funds from contracts with customers are recognised as a contract liability until performance obligations are satisfied.  Revenue is recognised as performance obligations are progressively fulfilled.</t>
  </si>
  <si>
    <t>Council has elected to measure the following classes of right-of-use assets at initial recognition at cost in accordance with AASB16.23–25.[Council will need to insert the same table used above for  each class of concessionary right-of-use asset]</t>
  </si>
  <si>
    <t>Investment property is held to generate long-term rental yields. Investment property is measured initially at cost, including transaction costs. Costs incurred subsequent to initial acquisition are capitalised when it is probable that future economic benefit in excess of the originally assessed performance of the asset will flow to Council. Subsequent to initial recognition at cost, investment property is carried at fair value, determined annually by independent valuers. Changes to fair value are recorded in the Statement of Comprehensive Income in the period that they arise. Rental income from the leasing of investment properties is recognised in the Statement of Comprehensive Income on a straight line basis over the lease term.</t>
  </si>
  <si>
    <t>Liabilities are recognised for amounts to be paid in the future for goods and services provided to Council as at balance date whether or not invoices have been received. General Creditors are unsecured, not subject to interest charges and are normally settled within &lt;&gt; days of invoice receipt.</t>
  </si>
  <si>
    <t>Rates and charges in advance represents amounts received by Council prior to the commencement of the rating or charging period. Revenue is recognised by Council at the beginning of the rating or charge period to which the advance payment relates</t>
  </si>
  <si>
    <t>Lease liabilities are secured by the related underlying assets. Future minimum lease payments were as follows:</t>
  </si>
  <si>
    <t>Concessionary lease liabilities are secured by the related underlying assets. Future minimum lease payments were as follows:</t>
  </si>
  <si>
    <t>Interest is expensed as it accrues and no interest has been capitalised during the current or comparative reporting period. There have been no defaults or breaches of the loan agreement during the period. Borrowings are secured by way of mortgages over the general rates of the Council.</t>
  </si>
  <si>
    <t xml:space="preserve">Council has to designate its investment in Taswater as an equity investment at fair value through other comprehensive income. Subsequent changes in fair value are reflected in the reserve and will not be reclassified through the profit or loss when derecognised. </t>
  </si>
  <si>
    <t>Floating Int' rate for rates &amp; parking charges - Adjust to suit your council situation</t>
  </si>
  <si>
    <t>See AASB.13 Aus93.1  (Amendment from AASB 2015-7)</t>
  </si>
  <si>
    <t>When members of key management personnel are unable to fulfil their duties, consideration is given to appointing other members of senior staff to their position during their period of absence.</t>
  </si>
  <si>
    <t>Items that will be reclassified subsequently to net result</t>
  </si>
  <si>
    <t>Consistent with roads, Council assumes that environmental factors such as soil type, climate and topography are consistent across each segment and that a segment is designed and constructed to the same standard and uses a consistent amount of labour and materials.  CRC is based on the unit price for the component type. For pipes, the unit price is multiplied by the asset's length. The unit price for pipes is based on the construction material as well as the depth the pipe is laid.</t>
  </si>
  <si>
    <t>Make sure you unselect all sheets afterwards.  As making a change in one sheet with multiple sheets selected, will result in the same change appearing in the same cell on all selected sheets!</t>
  </si>
  <si>
    <t>- Buildings</t>
  </si>
  <si>
    <t>- Roads, including footpaths &amp; cycleways</t>
  </si>
  <si>
    <t>Impairment losses are recognised in the Statement of comprehensive income under other expenses.</t>
  </si>
  <si>
    <t>As at 30 June 2023</t>
  </si>
  <si>
    <t>2022-23</t>
  </si>
  <si>
    <t>Grants for renewal of assets</t>
  </si>
  <si>
    <t>Grants received in advance - current year</t>
  </si>
  <si>
    <t>Disaster relief and recovery expenditure</t>
  </si>
  <si>
    <t>Grant funds transferred to xxxxx</t>
  </si>
  <si>
    <t>Internal committed funds</t>
  </si>
  <si>
    <t>iii) The balance represents funds set aside for Council to meet rehabilitation obligations.</t>
  </si>
  <si>
    <t>vi) List others  (Note XX)</t>
  </si>
  <si>
    <t>iv) Monies set aside to meet employee provision obligations</t>
  </si>
  <si>
    <t>Committed funds</t>
  </si>
  <si>
    <t xml:space="preserve">Total uncommitted cash and cash equivalents </t>
  </si>
  <si>
    <t xml:space="preserve"> (including redundancies)</t>
  </si>
  <si>
    <t xml:space="preserve">The "Impact of Covid-19 on Financial Reporting" Note has been removed. </t>
  </si>
  <si>
    <t>The variations for both operating and capital was up $1,000,000 on budget (30%) due to the early receipt of Commonwealth funding. The Australian Commonwealth Government provides Financial Assistance Grants to Council for general purpose use and the provision of local roads. Since 2011-12 the Commonwealth has been making early payment of the two quarterly instalments for the following year. As a general grant that is untied and without performance obligations, Council recognises grant revenues when received. The effects of the early receipt of instalments each year has resulted in Commonwealth Government Financial Assistance Grants being above that originally budgeted in 2022-23 by $1,000,000 and 2021-22 by $500,000. This has impacted the Statement of Comprehensive Income resulting in the Surplus/(deficit) being higher in both years by these amounts.  With fewer instalments due to be received next year, the reverse effect may occur, however future payments remain at the Commonwealth's discretion.</t>
  </si>
  <si>
    <t>Total Investments (note 4.3)</t>
  </si>
  <si>
    <t>Total uncommitted funds</t>
  </si>
  <si>
    <t>Restricted and internally committed funds include:</t>
  </si>
  <si>
    <t>Note 6 (cont)</t>
  </si>
  <si>
    <t>CashFlow Mvt</t>
  </si>
  <si>
    <t>For Councils with employees in Quadrant</t>
  </si>
  <si>
    <t>Key assumptions:</t>
  </si>
  <si>
    <t>- discount rate</t>
  </si>
  <si>
    <t>- index rate</t>
  </si>
  <si>
    <t>85(b)</t>
  </si>
  <si>
    <t xml:space="preserve"> - A parallel shift of + 1% and -1% in market interest rates (AUD) from year-end rates.</t>
  </si>
  <si>
    <t>Taking into account past performance, future expectations, economic forecasts, and management's knowledge and experience of the financial markets, Council believes the following movements are 'reasonably possible' over the next 12 months:</t>
  </si>
  <si>
    <t>Update to suit</t>
  </si>
  <si>
    <t>Comparative numbers reported in the 2021-22 statement of financial position, and at the beginning of the comparative financial year (1 July 2021) have been restated to correct these errors below for both the consolidated entity and the department. The line items affected are as follows:</t>
  </si>
  <si>
    <t>Councils should review the AASB website for relevant current and pending Standards and Interpretations up to completion of the financial report.  Wording includes alternative choices, depending upon your assessment.</t>
  </si>
  <si>
    <t>Guidance Paper (audit.tas.gov.au)</t>
  </si>
  <si>
    <t>Local Government (Management Indicators) Order 2014  - Tasmanian Legislation Online</t>
  </si>
  <si>
    <t>Covid-19 and National disaster relief grants</t>
  </si>
  <si>
    <t>Capital contributions - and recognition of assets</t>
  </si>
  <si>
    <t>Grants received in advance - prior year (Add+)</t>
  </si>
  <si>
    <t>Grants specifically for new or upgraded assets</t>
  </si>
  <si>
    <t>Other (Specify)</t>
  </si>
  <si>
    <t>Includes FAG Grant in Advance - Current Year</t>
  </si>
  <si>
    <t>Includes FAG Grant in Advance - Prior Year (Add / Positive+ Amount)</t>
  </si>
  <si>
    <t>Amounts received from transactions with external parties that do not form part of the council’s operating business activities and are in connection with non-financial assets</t>
  </si>
  <si>
    <t>MANAGEMENT-CERTIFICATION-TO-BE-PROVIDED-BY-THOSE-RESPONSIBLE-FOR-FINANCIAL-REPORTING-AT-THE-TIME-OF-SUBMISSION-OF-FINANCIAL-STATEMENTS.pdf (audit.tas.gov.au)</t>
  </si>
  <si>
    <t>Management Certification To Be Provided by Those Responsible for Financial Reporting At The Time of Submission Of Financial Statements.docx</t>
  </si>
  <si>
    <t>Pdf</t>
  </si>
  <si>
    <t>Word</t>
  </si>
  <si>
    <t>Financial Statements Submissions Checklist</t>
  </si>
  <si>
    <t>Management certification is not required where statements are submitted signed by the General Manager.</t>
  </si>
  <si>
    <t>The following management certification must be provided, on your letterhead, with the accompaning checklist, at the time financial statements are submitted to the Auditor-General pursuant to Section 17 of the Audit Act 2008. 
The financial statements will not be accepted if not accompanied by a management certification in the terms below and signed and dated by a suitably senior finance officer responsible for financial reporting, such as the Chief Financial Officer (or equivalent).</t>
  </si>
  <si>
    <t>Includes guidance and links.</t>
  </si>
  <si>
    <t>Unscheduled one-off loss on disposal of non-financial assets</t>
  </si>
  <si>
    <r>
      <t xml:space="preserve">Pending Standard - AASB 2022-10 </t>
    </r>
    <r>
      <rPr>
        <i/>
        <sz val="10"/>
        <rFont val="Arial Narrow"/>
        <family val="2"/>
      </rPr>
      <t>Amendments to Australian Accounting Standards – Fair Value Measurement of Non-Financial Assets of Not-for-Profit Public Sector Entities</t>
    </r>
    <r>
      <rPr>
        <sz val="10"/>
        <rFont val="Arial Narrow"/>
        <family val="2"/>
      </rPr>
      <t>, will need to be considered by all councils in the measurement of all public assets measured at fair value.  This will likely require the review and reassessment of significant judgements and assumptions, along with associated disclosures, in the future assesment of fair value assets.  Some example wording has been included.</t>
    </r>
  </si>
  <si>
    <r>
      <t xml:space="preserve">These financial statements are a general purpose financial report that consists of a Statement of Comprehensive Income, Statement of Financial Position, Statement of Changes in Equity, Statement of Cash Flows, and notes accompanying these financial statements. The general purpose financial report complies with Australian Accounting Standards, other authoritative pronouncements of the Australian Accounting Standards Board, and the </t>
    </r>
    <r>
      <rPr>
        <i/>
        <sz val="10"/>
        <rFont val="Arial Narrow"/>
        <family val="2"/>
      </rPr>
      <t>Local Government Act 1993 (LGA1993) (as amended).</t>
    </r>
    <r>
      <rPr>
        <sz val="10"/>
        <rFont val="Arial Narrow"/>
        <family val="2"/>
      </rPr>
      <t>Council has determined that it does not have profit generation as a prime objective. Consequently, where appropriate, Council has elected to apply options and exemptions within accounting standards that are applicable to not-for-profit entities.</t>
    </r>
  </si>
  <si>
    <r>
      <t>Assumptions and judgements are utilised in determining…………</t>
    </r>
    <r>
      <rPr>
        <sz val="10"/>
        <color rgb="FF0070C0"/>
        <rFont val="Arial Narrow"/>
        <family val="2"/>
      </rPr>
      <t>…</t>
    </r>
    <r>
      <rPr>
        <sz val="10"/>
        <color rgb="FF0000FF"/>
        <rFont val="Arial Narrow"/>
        <family val="2"/>
      </rPr>
      <t>&lt;Will also require policy notes&gt;</t>
    </r>
  </si>
  <si>
    <r>
      <t>·</t>
    </r>
    <r>
      <rPr>
        <sz val="10"/>
        <color rgb="FF0000FF"/>
        <rFont val="Times New Roman"/>
        <family val="1"/>
      </rPr>
      <t xml:space="preserve">     </t>
    </r>
    <r>
      <rPr>
        <i/>
        <sz val="10"/>
        <color rgb="FF0000FF"/>
        <rFont val="Arial"/>
        <family val="2"/>
      </rPr>
      <t>impairment</t>
    </r>
  </si>
  <si>
    <r>
      <t>·</t>
    </r>
    <r>
      <rPr>
        <sz val="10"/>
        <color rgb="FF0000FF"/>
        <rFont val="Times New Roman"/>
        <family val="1"/>
      </rPr>
      <t xml:space="preserve">     </t>
    </r>
    <r>
      <rPr>
        <i/>
        <sz val="10"/>
        <color rgb="FF0000FF"/>
        <rFont val="Arial"/>
        <family val="2"/>
      </rPr>
      <t>estimated useful lives of assets;</t>
    </r>
  </si>
  <si>
    <r>
      <t>·</t>
    </r>
    <r>
      <rPr>
        <sz val="10"/>
        <color rgb="FF0000FF"/>
        <rFont val="Times New Roman"/>
        <family val="1"/>
      </rPr>
      <t xml:space="preserve">     </t>
    </r>
    <r>
      <rPr>
        <i/>
        <sz val="10"/>
        <color rgb="FF0000FF"/>
        <rFont val="Arial"/>
        <family val="2"/>
      </rPr>
      <t>provision for impairment</t>
    </r>
  </si>
  <si>
    <r>
      <t>·</t>
    </r>
    <r>
      <rPr>
        <sz val="10"/>
        <color rgb="FF0000FF"/>
        <rFont val="Times New Roman"/>
        <family val="1"/>
      </rPr>
      <t xml:space="preserve">     </t>
    </r>
    <r>
      <rPr>
        <i/>
        <sz val="10"/>
        <color rgb="FF0000FF"/>
        <rFont val="Arial"/>
        <family val="2"/>
      </rPr>
      <t>key assumptions used in cash flow projections. (eg Rehabilitation)</t>
    </r>
  </si>
  <si>
    <r>
      <t>·</t>
    </r>
    <r>
      <rPr>
        <sz val="10"/>
        <color rgb="FF0000FF"/>
        <rFont val="Times New Roman"/>
        <family val="1"/>
      </rPr>
      <t xml:space="preserve">     </t>
    </r>
    <r>
      <rPr>
        <i/>
        <sz val="10"/>
        <color rgb="FF0000FF"/>
        <rFont val="Arial"/>
        <family val="2"/>
      </rPr>
      <t>provisions and contingencies</t>
    </r>
  </si>
  <si>
    <r>
      <t>Council’s original budget was adopted by the Council on</t>
    </r>
    <r>
      <rPr>
        <b/>
        <sz val="10"/>
        <color rgb="FF0000FF"/>
        <rFont val="Arial Narrow"/>
        <family val="2"/>
      </rPr>
      <t xml:space="preserve"> XX July 2021</t>
    </r>
    <r>
      <rPr>
        <sz val="10"/>
        <color rgb="FF0000FF"/>
        <rFont val="Arial Narrow"/>
        <family val="2"/>
      </rPr>
      <t>. The original projections on which the budget was based have been affected by a number of factors. These include State and Federal Government decisions including new grant programs, changing economic activity, the weather, and by decisions made by Council. Material variations of more than 10% are explained below:</t>
    </r>
  </si>
  <si>
    <r>
      <t xml:space="preserve">The date of the latest general revaluation of land for rating purposes within the municipality was </t>
    </r>
    <r>
      <rPr>
        <sz val="10.5"/>
        <color rgb="FF0070C0"/>
        <rFont val="Arial Narrow"/>
        <family val="2"/>
      </rPr>
      <t>&lt;1 January 20XX&gt;</t>
    </r>
    <r>
      <rPr>
        <sz val="10.5"/>
        <rFont val="Arial Narrow"/>
        <family val="2"/>
      </rPr>
      <t xml:space="preserve">, and the valuation will be first applied in the rating year commencing </t>
    </r>
    <r>
      <rPr>
        <sz val="10.5"/>
        <color rgb="FF0070C0"/>
        <rFont val="Arial Narrow"/>
        <family val="2"/>
      </rPr>
      <t>&lt;1 July 20XX&gt;</t>
    </r>
    <r>
      <rPr>
        <sz val="10.5"/>
        <rFont val="Arial Narrow"/>
        <family val="2"/>
      </rPr>
      <t>.</t>
    </r>
  </si>
  <si>
    <r>
      <t xml:space="preserve">The performance obligations are varied based on the agreement, but include </t>
    </r>
    <r>
      <rPr>
        <sz val="10.5"/>
        <color rgb="FF0000FF"/>
        <rFont val="Arial Narrow"/>
        <family val="2"/>
      </rPr>
      <t>[provide details of performance obligations within AASB 15 grants e.g. events, programs].</t>
    </r>
  </si>
  <si>
    <r>
      <t>&lt; Details relating to Council as a lessor are presented ant note 9.9. Councils that have significant investments properties will need to review AASB 140</t>
    </r>
    <r>
      <rPr>
        <i/>
        <sz val="10.5"/>
        <color rgb="FF0000FF"/>
        <rFont val="Arial Narrow"/>
        <family val="2"/>
      </rPr>
      <t xml:space="preserve"> Investment Property,</t>
    </r>
    <r>
      <rPr>
        <sz val="10.5"/>
        <color rgb="FF0000FF"/>
        <rFont val="Arial Narrow"/>
        <family val="2"/>
      </rPr>
      <t>for additional disclosure requirements&gt;</t>
    </r>
  </si>
  <si>
    <r>
      <t>Other infrastructure&lt;</t>
    </r>
    <r>
      <rPr>
        <i/>
        <sz val="10.5"/>
        <rFont val="Arial Narrow"/>
        <family val="2"/>
      </rPr>
      <t>insert details&gt;</t>
    </r>
  </si>
  <si>
    <r>
      <t xml:space="preserve">Council reviews contractual assets for impairment and </t>
    </r>
    <r>
      <rPr>
        <i/>
        <sz val="10.5"/>
        <color rgb="FF0070C0"/>
        <rFont val="Arial Narrow"/>
        <family val="2"/>
      </rPr>
      <t>&lt;add information regarding impairment loss assessment&gt;</t>
    </r>
    <r>
      <rPr>
        <sz val="10.5"/>
        <rFont val="Arial Narrow"/>
        <family val="2"/>
      </rPr>
      <t>.</t>
    </r>
  </si>
  <si>
    <r>
      <t>i)</t>
    </r>
    <r>
      <rPr>
        <sz val="10.5"/>
        <color rgb="FF0070C0"/>
        <rFont val="Arial Narrow"/>
        <family val="2"/>
      </rPr>
      <t xml:space="preserve"> &lt;Provide details&gt;</t>
    </r>
  </si>
  <si>
    <r>
      <t>ii)</t>
    </r>
    <r>
      <rPr>
        <sz val="10.5"/>
        <color rgb="FF0070C0"/>
        <rFont val="Arial Narrow"/>
        <family val="2"/>
      </rPr>
      <t xml:space="preserve"> &lt;Provide details&gt;</t>
    </r>
  </si>
  <si>
    <r>
      <t xml:space="preserve">As Council's investment in TasWater is held for long-term strategic purposes, Council has elected under AASB 9: </t>
    </r>
    <r>
      <rPr>
        <i/>
        <sz val="10.5"/>
        <rFont val="Arial Narrow"/>
        <family val="2"/>
      </rPr>
      <t>Financial Instruments</t>
    </r>
    <r>
      <rPr>
        <sz val="10.5"/>
        <rFont val="Arial Narrow"/>
        <family val="2"/>
      </rPr>
      <t xml:space="preserve"> to irrevocably classify this equity investment as designated at fair value through other comprehensive income. Subsequent changes in fair value on designated investments in equity instruments are recognised in other comprehensive income (for fair value reserve, refer note 9.1) and not reclassified through the profit or loss when derecognised. Dividends associated with the equity investments are recognised in profit and loss when the right of payment has been established and it can be reliably measured.
Fair value was determined by using Council's ownership interest against the water corporation's net asset value at balance date. </t>
    </r>
    <r>
      <rPr>
        <sz val="10.5"/>
        <color rgb="FF0000FF"/>
        <rFont val="Arial Narrow"/>
        <family val="2"/>
      </rPr>
      <t>Council holds XX% ownership interest in TasWater which is based on Schedule 2 of the Corporation's Constitution</t>
    </r>
    <r>
      <rPr>
        <sz val="10.5"/>
        <color rgb="FFFF0000"/>
        <rFont val="Arial Narrow"/>
        <family val="2"/>
      </rPr>
      <t xml:space="preserve">. </t>
    </r>
  </si>
  <si>
    <r>
      <t xml:space="preserve">Leased plant and equipment </t>
    </r>
    <r>
      <rPr>
        <b/>
        <i/>
        <sz val="10.5"/>
        <color rgb="FF0000FF"/>
        <rFont val="Arial Narrow"/>
        <family val="2"/>
      </rPr>
      <t>&lt;insert details&gt;</t>
    </r>
  </si>
  <si>
    <r>
      <t xml:space="preserve">Subsequent to the initial recognition of assets, non-current physical assets, other than plant and equipment (and &lt;name other classes&gt;), are measured at their fair value in accordance with AASB 116 </t>
    </r>
    <r>
      <rPr>
        <i/>
        <sz val="10.5"/>
        <rFont val="Arial Narrow"/>
        <family val="2"/>
      </rPr>
      <t>Property, Plant &amp; Equipment</t>
    </r>
    <r>
      <rPr>
        <sz val="10.5"/>
        <rFont val="Arial Narrow"/>
        <family val="2"/>
      </rPr>
      <t xml:space="preserve"> and AASB 13 </t>
    </r>
    <r>
      <rPr>
        <i/>
        <sz val="10.5"/>
        <rFont val="Arial Narrow"/>
        <family val="2"/>
      </rPr>
      <t>Fair Value Measurement</t>
    </r>
    <r>
      <rPr>
        <sz val="10.5"/>
        <rFont val="Arial Narrow"/>
        <family val="2"/>
      </rPr>
      <t>. At balance date, Council reviewed the carrying value of the individual classes of assets measured at fair value to ensure that each asset class materially approximated its fair value. Where the carrying value materially differed from the fair value at balance date the class of asset was revalued.</t>
    </r>
  </si>
  <si>
    <r>
      <t xml:space="preserve">Valuation of investment property has been determined in accordance with an independent valuation by </t>
    </r>
    <r>
      <rPr>
        <sz val="10.5"/>
        <color rgb="FF0000FF"/>
        <rFont val="Arial Narrow"/>
        <family val="2"/>
      </rPr>
      <t>&lt;name and qualifications&gt;</t>
    </r>
    <r>
      <rPr>
        <sz val="10.5"/>
        <rFont val="Arial Narrow"/>
        <family val="2"/>
      </rPr>
      <t xml:space="preserve"> who has  experience in the location and category of the property being valued.</t>
    </r>
  </si>
  <si>
    <r>
      <t xml:space="preserve">In accordance with Council's policy, the threshold limits applied when recognising intangible assets is </t>
    </r>
    <r>
      <rPr>
        <sz val="10.5"/>
        <color rgb="FF0000FF"/>
        <rFont val="Arial Narrow"/>
        <family val="2"/>
      </rPr>
      <t>&lt;$XX,XXXs&gt;</t>
    </r>
    <r>
      <rPr>
        <sz val="10.5"/>
        <rFont val="Arial Narrow"/>
        <family val="2"/>
      </rPr>
      <t xml:space="preserve"> and consistent with the prior year.</t>
    </r>
  </si>
  <si>
    <r>
      <t xml:space="preserve">A right-of-use asset is initially measured at cost comprising the initial measurement of the lease liability adjusted for any lease payments made before the commencement date (reduced by lease incentives received), plus initial direct costs incurred in obtaining the lease and an estimate of costs to be incurred in dismantling and removing the underlying asset, restoring the site on which it is located or restoring the underlying asset to the condition required by the terms and conditions of the lease, </t>
    </r>
    <r>
      <rPr>
        <sz val="10.5"/>
        <color rgb="FF0000FF"/>
        <rFont val="Arial Narrow"/>
        <family val="2"/>
      </rPr>
      <t>unless those costs are incurred to produce inventories [Remove reference to inventories if not applicable]</t>
    </r>
    <r>
      <rPr>
        <sz val="10.5"/>
        <rFont val="Arial Narrow"/>
        <family val="2"/>
      </rPr>
      <t>.</t>
    </r>
  </si>
  <si>
    <r>
      <t xml:space="preserve">Council makes superannuation contributions for a number of its employees to the Quadrant Defined Benefits Fund (the Fund), a sub-fund of the Tasplan Superannuation Fund (Tasplan). The Fund has been classified as a multi-employer sponsored plan. As the Fund’s assets and liabilities are pooled and are not allocated by employer, the Actuary is unable to allocate benefit liabilities, assets and costs between employers. As provided under paragraph 34 of AASB 119 </t>
    </r>
    <r>
      <rPr>
        <i/>
        <sz val="10.5"/>
        <rFont val="Arial Narrow"/>
        <family val="2"/>
      </rPr>
      <t>Employee Benefits</t>
    </r>
    <r>
      <rPr>
        <sz val="10.5"/>
        <rFont val="Arial Narrow"/>
        <family val="2"/>
      </rPr>
      <t>, Council does not use defined benefit accounting for these contributions.</t>
    </r>
  </si>
  <si>
    <r>
      <t xml:space="preserve">Under </t>
    </r>
    <r>
      <rPr>
        <sz val="10.5"/>
        <color rgb="FF0000FF"/>
        <rFont val="Arial Narrow"/>
        <family val="2"/>
      </rPr>
      <t>[legislation/agreement/Council undertaking]</t>
    </r>
    <r>
      <rPr>
        <sz val="10.5"/>
        <rFont val="Arial Narrow"/>
        <family val="2"/>
      </rPr>
      <t xml:space="preserve"> Council is obligated to restore the </t>
    </r>
    <r>
      <rPr>
        <sz val="10.5"/>
        <color rgb="FF0000FF"/>
        <rFont val="Arial Narrow"/>
        <family val="2"/>
      </rPr>
      <t>[landfill]</t>
    </r>
    <r>
      <rPr>
        <sz val="10.5"/>
        <rFont val="Arial Narrow"/>
        <family val="2"/>
      </rPr>
      <t xml:space="preserve"> site to a particular standard. The forecast life of the site is based on current estimates of remaining capacity and the forecast rate of infill. The provision for landfill restoration has been calculated based on the present value of the expected cost of works to be undertaken. The expected cost of works has been estimated based on current understanding of work required to reinstate the site to a suitable standard</t>
    </r>
    <r>
      <rPr>
        <sz val="10.5"/>
        <color rgb="FF0000FF"/>
        <rFont val="Arial Narrow"/>
        <family val="2"/>
      </rPr>
      <t>.</t>
    </r>
    <r>
      <rPr>
        <sz val="10.5"/>
        <rFont val="Arial Narrow"/>
        <family val="2"/>
      </rPr>
      <t xml:space="preserve">  Accordingly, the estimation of the provision required is dependent on the accuracy of the forecast timing of the work, work required and related costs. </t>
    </r>
    <r>
      <rPr>
        <sz val="10.5"/>
        <color rgb="FF0000FF"/>
        <rFont val="Arial Narrow"/>
        <family val="2"/>
      </rPr>
      <t>Council [does/does not] expect to receive reimbursement from a third party.</t>
    </r>
    <r>
      <rPr>
        <sz val="10.5"/>
        <rFont val="Arial Narrow"/>
        <family val="2"/>
      </rPr>
      <t xml:space="preserve">
Council reviews the landfill restoration provision on an annual basis, including the key assumptions listed below.</t>
    </r>
  </si>
  <si>
    <r>
      <t>Provision for lease make good costs</t>
    </r>
    <r>
      <rPr>
        <sz val="10.5"/>
        <color rgb="FF0070C0"/>
        <rFont val="Arial Narrow"/>
        <family val="2"/>
      </rPr>
      <t xml:space="preserve"> </t>
    </r>
    <r>
      <rPr>
        <sz val="10.5"/>
        <color rgb="FF0000FF"/>
        <rFont val="Arial Narrow"/>
        <family val="2"/>
      </rPr>
      <t>&lt;will also need policy note&gt;</t>
    </r>
  </si>
  <si>
    <r>
      <t>The lease liability is measured at the present value of outstanding payments that are not paid at balance date, discounted by using the rate implicit in the lease. Where this cannot be readily determined then Council's incremental borrowing rate for a similar term with similar security is used.</t>
    </r>
    <r>
      <rPr>
        <sz val="10.5"/>
        <color rgb="FF0000FF"/>
        <rFont val="Arial Narrow"/>
        <family val="2"/>
      </rPr>
      <t xml:space="preserve">
</t>
    </r>
    <r>
      <rPr>
        <sz val="10.5"/>
        <rFont val="Arial Narrow"/>
        <family val="2"/>
      </rPr>
      <t>The lease liability is subsequently measured by increasing the carrying amount to reflect interest on the lease liability (using the effective interest method) and by reducing the carrying amount to reflect the lease payments made.</t>
    </r>
  </si>
  <si>
    <r>
      <rPr>
        <b/>
        <sz val="10.5"/>
        <rFont val="Arial Narrow"/>
        <family val="2"/>
      </rPr>
      <t xml:space="preserve">Short-term leases and leases of low-value assets
</t>
    </r>
    <r>
      <rPr>
        <sz val="10.5"/>
        <rFont val="Arial Narrow"/>
        <family val="2"/>
      </rPr>
      <t>Council has elected not to recognise right-of-use assets and lease liabilities for short-term leases i.e. leases with a lease term of 12 months or less and leases of low-value assets i.e., when the value of the leased asset when new is $10,000 or less. Council recognises the lease payments associated with these leases as expense on a straight-line basis over the lease term.</t>
    </r>
  </si>
  <si>
    <r>
      <t>i) Grant funds received in advance includes</t>
    </r>
    <r>
      <rPr>
        <sz val="10.5"/>
        <color rgb="FF0070C0"/>
        <rFont val="Arial Narrow"/>
        <family val="2"/>
      </rPr>
      <t xml:space="preserve"> the construction of a new health facility for the provision of community health and family and children services. </t>
    </r>
    <r>
      <rPr>
        <sz val="10.5"/>
        <rFont val="Arial Narrow"/>
        <family val="2"/>
      </rPr>
      <t>The funds received are under an enforceable contract which requires Council to construct an identified asset which will be under Council’s control on completion. The revenue is recognised as Council constructs the asset and the contract liability reflects the funding received which cannot yet be recognised as revenue. Revenue is expected to be recognised in the next 12 months.</t>
    </r>
  </si>
  <si>
    <r>
      <t xml:space="preserve">The borrowing capacity of Council is limited by the </t>
    </r>
    <r>
      <rPr>
        <i/>
        <sz val="10.5"/>
        <rFont val="Arial Narrow"/>
        <family val="2"/>
      </rPr>
      <t>Local Government Act 1993</t>
    </r>
    <r>
      <rPr>
        <sz val="10.5"/>
        <rFont val="Arial Narrow"/>
        <family val="2"/>
      </rPr>
      <t>. Interest bearing liabilities are initially recognised at fair value, net of transaction costs incurred. Subsequent to initial recognition these liabilities are measured at amortised cost. Any difference between the proceeds (net of transaction costs) and the redemption amount is recognised in the Statement of Comprehensive Income over the period of the liability using the effective interest method.</t>
    </r>
  </si>
  <si>
    <r>
      <t xml:space="preserve">During the year Council made the required superannuation contributions for all eligible employees to an appropriate complying superannuation fund as required by the </t>
    </r>
    <r>
      <rPr>
        <i/>
        <sz val="10.5"/>
        <rFont val="Arial Narrow"/>
        <family val="2"/>
      </rPr>
      <t>Superannuation Guarantee (Administration) Act 1992</t>
    </r>
    <r>
      <rPr>
        <sz val="10.5"/>
        <rFont val="Arial Narrow"/>
        <family val="2"/>
      </rPr>
      <t>.</t>
    </r>
  </si>
  <si>
    <r>
      <t xml:space="preserve">As required in terms of paragraph 148 of AASB 119 </t>
    </r>
    <r>
      <rPr>
        <i/>
        <sz val="10.5"/>
        <rFont val="Arial Narrow"/>
        <family val="2"/>
      </rPr>
      <t>Employee Benefits</t>
    </r>
    <r>
      <rPr>
        <sz val="10.5"/>
        <rFont val="Arial Narrow"/>
        <family val="2"/>
      </rPr>
      <t>, Council discloses the following details:</t>
    </r>
  </si>
  <si>
    <r>
      <t>&lt; Council as lessor - Insert general description of lessor's leasing arrangements.  Councils that have significant investments properties will need to review AASB 140</t>
    </r>
    <r>
      <rPr>
        <i/>
        <sz val="10.5"/>
        <color rgb="FF0000FF"/>
        <rFont val="Arial Narrow"/>
        <family val="2"/>
      </rPr>
      <t xml:space="preserve"> Investment Property,</t>
    </r>
    <r>
      <rPr>
        <sz val="10.5"/>
        <color rgb="FF0000FF"/>
        <rFont val="Arial Narrow"/>
        <family val="2"/>
      </rPr>
      <t xml:space="preserve"> for additional disclosure requirements&gt;</t>
    </r>
  </si>
  <si>
    <r>
      <t xml:space="preserve">Where leases are commercial agreements, and properties leased are predominantly used for leasing to third parties, Council records lease revenue on an accruals basis and records the associated properties as investment property in accordance with AASB 140 </t>
    </r>
    <r>
      <rPr>
        <i/>
        <sz val="10.5"/>
        <rFont val="Arial Narrow"/>
        <family val="2"/>
      </rPr>
      <t>Investment Properties</t>
    </r>
    <r>
      <rPr>
        <sz val="10.5"/>
        <rFont val="Arial Narrow"/>
        <family val="2"/>
      </rPr>
      <t xml:space="preserve">. These properties are recognised at fair value.  These leases may include incentives which have not been recognised in the statement of financial position, on the basis the amounts are unlikely to be material and could be reliably measured at balance date.  </t>
    </r>
  </si>
  <si>
    <r>
      <t xml:space="preserve">&lt;&lt;OR&gt;&gt;
Where leases are commercial agreements, and properties leased are predominately used for leasing to third parties, Council records lease revenue on an accruals basis.  As stated in note XX1, property purchased as part of the XXXXX project is accounted for as land and buildings under AASB 116 </t>
    </r>
    <r>
      <rPr>
        <i/>
        <sz val="10.5"/>
        <rFont val="Arial Narrow"/>
        <family val="2"/>
      </rPr>
      <t>Property, Plant and Equipment</t>
    </r>
    <r>
      <rPr>
        <sz val="10.5"/>
        <rFont val="Arial Narrow"/>
        <family val="2"/>
      </rPr>
      <t xml:space="preserve"> and not AASB 140</t>
    </r>
    <r>
      <rPr>
        <i/>
        <sz val="10.5"/>
        <rFont val="Arial Narrow"/>
        <family val="2"/>
      </rPr>
      <t xml:space="preserve"> Investment Properties</t>
    </r>
    <r>
      <rPr>
        <sz val="10.5"/>
        <rFont val="Arial Narrow"/>
        <family val="2"/>
      </rPr>
      <t>.  Buildings are recognised at current replacement cost.  These leases may include incentives which have not been recognised in the Statement of Financial Position, on the basis the amounts are unlikely to be material and could not be reliably measured at balance date.</t>
    </r>
  </si>
  <si>
    <r>
      <t xml:space="preserve">Council operates a landfill at </t>
    </r>
    <r>
      <rPr>
        <sz val="10.5"/>
        <color rgb="FF0000FF"/>
        <rFont val="Arial Narrow"/>
        <family val="2"/>
      </rPr>
      <t>&lt;place&gt;</t>
    </r>
    <r>
      <rPr>
        <sz val="10.5"/>
        <rFont val="Arial Narrow"/>
        <family val="2"/>
      </rPr>
      <t>. Council will have to carry out site rehabilitation works in the future. At balance date Council is unable to accurately assess the financial implications of such works.</t>
    </r>
  </si>
  <si>
    <r>
      <t xml:space="preserve">-1 % 
</t>
    </r>
    <r>
      <rPr>
        <sz val="10.5"/>
        <color rgb="FF0000FF"/>
        <rFont val="Arial Narrow"/>
        <family val="2"/>
      </rPr>
      <t>(Note: Use relevant interest rate risk for your council).</t>
    </r>
  </si>
  <si>
    <r>
      <t xml:space="preserve">AASB 13 </t>
    </r>
    <r>
      <rPr>
        <i/>
        <sz val="10.5"/>
        <rFont val="Arial Narrow"/>
        <family val="2"/>
      </rPr>
      <t>Fair Value Measurement</t>
    </r>
    <r>
      <rPr>
        <sz val="10.5"/>
        <rFont val="Arial Narrow"/>
        <family val="2"/>
      </rPr>
      <t xml:space="preserve"> requires all assets and liabilities measured at fair value to be assigned to a level in the fair value hierarchy as follows:</t>
    </r>
  </si>
  <si>
    <r>
      <t xml:space="preserve">Council's policy is to recognise transfers in and out of the fair value hierarchy levels as at the </t>
    </r>
    <r>
      <rPr>
        <sz val="10.5"/>
        <color rgb="FF0000FF"/>
        <rFont val="Arial Narrow"/>
        <family val="2"/>
      </rPr>
      <t xml:space="preserve">end of the reporting period/ the date of the event or change in circumstances that caused the transfer / the beginning of the reporting period </t>
    </r>
    <r>
      <rPr>
        <sz val="10.5"/>
        <rFont val="Arial Narrow"/>
        <family val="2"/>
      </rPr>
      <t xml:space="preserve">- </t>
    </r>
    <r>
      <rPr>
        <sz val="10.5"/>
        <color rgb="FF0000FF"/>
        <rFont val="Arial Narrow"/>
        <family val="2"/>
      </rPr>
      <t>delete as applicable.</t>
    </r>
  </si>
  <si>
    <r>
      <rPr>
        <sz val="10.5"/>
        <color rgb="FF0000FF"/>
        <rFont val="Arial Narrow"/>
        <family val="2"/>
      </rPr>
      <t xml:space="preserve">AASB 13 </t>
    </r>
    <r>
      <rPr>
        <i/>
        <sz val="10.5"/>
        <color rgb="FF0000FF"/>
        <rFont val="Arial Narrow"/>
        <family val="2"/>
      </rPr>
      <t>Fair Value Measurement, requires the fair value of non-financial assets to be calculated based on their "highest and best use". If applicable, [provide details of the assets that have a different highest and best use from the current use and why the non-financial asset is being used in a manner that differs from its highest and best use]. Otherwise include a sentence that all assets valued at fair value in this note are being used for their highest and best use.</t>
    </r>
  </si>
  <si>
    <r>
      <rPr>
        <b/>
        <i/>
        <sz val="10.5"/>
        <rFont val="Arial Narrow"/>
        <family val="2"/>
      </rPr>
      <t xml:space="preserve">Level 2 Measurements (recurring and non-recurring) - </t>
    </r>
    <r>
      <rPr>
        <i/>
        <sz val="10.5"/>
        <color rgb="FF0000FF"/>
        <rFont val="Arial Narrow"/>
        <family val="2"/>
      </rPr>
      <t>describe the valuation techniques and the inputs used in the fair value measurement, if there has been a change in the technique then this change and the reason for making it should be disclosed.</t>
    </r>
  </si>
  <si>
    <r>
      <rPr>
        <b/>
        <i/>
        <sz val="10.5"/>
        <rFont val="Arial Narrow"/>
        <family val="2"/>
      </rPr>
      <t>Level 3 Measurements (recurring and non-recurring)</t>
    </r>
    <r>
      <rPr>
        <i/>
        <sz val="10.5"/>
        <rFont val="Arial Narrow"/>
        <family val="2"/>
      </rPr>
      <t xml:space="preserve"> - same as Level 2 above </t>
    </r>
    <r>
      <rPr>
        <i/>
        <sz val="10.5"/>
        <color rgb="FF0000FF"/>
        <rFont val="Arial Narrow"/>
        <family val="2"/>
      </rPr>
      <t>plus, for items other than PPE under AASB116, quantitative information about the significant unobservable inputs used in the fair value.</t>
    </r>
  </si>
  <si>
    <r>
      <rPr>
        <b/>
        <i/>
        <sz val="10.5"/>
        <rFont val="Arial Narrow"/>
        <family val="2"/>
      </rPr>
      <t xml:space="preserve">Level 3 measurements (recurring) </t>
    </r>
    <r>
      <rPr>
        <i/>
        <sz val="10.5"/>
        <rFont val="Arial Narrow"/>
        <family val="2"/>
      </rPr>
      <t>-</t>
    </r>
    <r>
      <rPr>
        <i/>
        <sz val="10.5"/>
        <color rgb="FF0000FF"/>
        <rFont val="Arial Narrow"/>
        <family val="2"/>
      </rPr>
      <t xml:space="preserve"> a reconciliation of opening and closing balances is also required, which should include gains and losses recognised in profit and loss, gains/loss recognised in other comprehensive income, purchases and disposals, transfers in and out of Level 3. Refer Note (e) below.</t>
    </r>
  </si>
  <si>
    <r>
      <rPr>
        <sz val="10.5"/>
        <color rgb="FFFF0000"/>
        <rFont val="Arial Narrow"/>
        <family val="2"/>
      </rPr>
      <t>Land fair values were determined by a qualified independent valuer</t>
    </r>
    <r>
      <rPr>
        <sz val="10.5"/>
        <rFont val="Arial Narrow"/>
        <family val="2"/>
      </rPr>
      <t xml:space="preserve"> </t>
    </r>
    <r>
      <rPr>
        <sz val="10.5"/>
        <color rgb="FFFF0000"/>
        <rFont val="Arial Narrow"/>
        <family val="2"/>
      </rPr>
      <t xml:space="preserve">[include name and valuer details] effective 30 June 2021. Since that date to ensure the current values represent fair value, Council have applied an index of 2.5% as at 30 June 2022 and 2.5% as at 30 June 2023, using the XYZ Index/adjustment factor from ABC. The next full valuation is planned for 30 June 2024. </t>
    </r>
    <r>
      <rPr>
        <sz val="10.5"/>
        <rFont val="Arial Narrow"/>
        <family val="2"/>
      </rPr>
      <t xml:space="preserve"> Level 2 valuation inputs were used to value land in freehold title as well as land used for special purposes, which is restricted in use under current planning provisions. Sales prices of comparable land sites in close proximity are adjusted for differences in key attributes such as property size. All freehold land reserved for public open space is valued at a discount of</t>
    </r>
    <r>
      <rPr>
        <sz val="10.5"/>
        <color rgb="FFFF0000"/>
        <rFont val="Arial Narrow"/>
        <family val="2"/>
      </rPr>
      <t xml:space="preserve"> X</t>
    </r>
    <r>
      <rPr>
        <sz val="10.5"/>
        <rFont val="Arial Narrow"/>
        <family val="2"/>
      </rPr>
      <t xml:space="preserve"> percent to market value based on legal precedents. The most significant input into this valuation approach is price per square metre.</t>
    </r>
  </si>
  <si>
    <r>
      <rPr>
        <sz val="10.5"/>
        <color rgb="FFFF0000"/>
        <rFont val="Arial Narrow"/>
        <family val="2"/>
      </rPr>
      <t xml:space="preserve">The fair value of buildings were also determined by a qualified independent valuer [include name and valuer details] effective 30 June 2021 Since that date to ensure the current values represent fair value, Council have applied an index of 2.5% as at 30 June 2022 and 2.5% as at 30 June 2023, using the XYZ Index/adjustment factor from ABC. The next full valuation is planned for 30 June 24.  </t>
    </r>
    <r>
      <rPr>
        <sz val="10.5"/>
        <rFont val="Arial Narrow"/>
        <family val="2"/>
      </rPr>
      <t>Where there is a market for Council building assets, fair value has been derived from the sales prices of comparable properties after adjusting for differences in key attributes such as property size. The most significant input into this valuation approach was price per square metre.</t>
    </r>
  </si>
  <si>
    <r>
      <t xml:space="preserve">While the unit rates based on square metres can be supported by market evidence (level 2), the estimates of residual value and useful life that are used to calculate accumulated depreciation comprise unobservable inputs (level 3). Where these other inputs are significant to the valuation the overall valuation has been classified as level 3. </t>
    </r>
    <r>
      <rPr>
        <sz val="10.5"/>
        <color rgb="FF0000FF"/>
        <rFont val="Arial Narrow"/>
        <family val="2"/>
      </rPr>
      <t>The table at (d) below summarises the effect that changes in the most significant unobservable inputs would have on the valuation.</t>
    </r>
  </si>
  <si>
    <r>
      <t xml:space="preserve">The calculation of CRC involves a number of inputs that require judgement and are therefore classed as unobservable. While these judgements are made by qualified and experienced staff, different judgements could result in a different valuation. </t>
    </r>
    <r>
      <rPr>
        <sz val="10.5"/>
        <color rgb="FF0000FF"/>
        <rFont val="Arial Narrow"/>
        <family val="2"/>
      </rPr>
      <t>The table at (d) below summarises the effect that changes in the most significant unobservable inputs would have on the valuation.</t>
    </r>
  </si>
  <si>
    <r>
      <t xml:space="preserve">Council categorises its road infrastructure into urban and rural roads and then further sub-categorises these into sealed and unsealed roads. Urban roads are managed in segments of </t>
    </r>
    <r>
      <rPr>
        <b/>
        <sz val="10.5"/>
        <color rgb="FF0070C0"/>
        <rFont val="Arial Narrow"/>
        <family val="2"/>
      </rPr>
      <t>XX</t>
    </r>
    <r>
      <rPr>
        <sz val="10.5"/>
        <rFont val="Arial Narrow"/>
        <family val="2"/>
      </rPr>
      <t>km, while rural roads are managed in XXkm segments. All road segments are then componentised into formation, pavement, sub-pavement and seal (where applicable). Council assumes that environmental factors such as soil type, climate and topography are consistent across each segment. Council also assumes a segment is designed and constructed to the same standard and uses a consistent amount of labour and materials.</t>
    </r>
    <r>
      <rPr>
        <sz val="10.5"/>
        <color rgb="FFFF0000"/>
        <rFont val="Arial Narrow"/>
        <family val="2"/>
      </rPr>
      <t xml:space="preserve"> A full revaluation of roads, including footpaths and cylceways was undertaken by independent valuer, (insert name) effective 30 June 2021.</t>
    </r>
    <r>
      <rPr>
        <sz val="10.5"/>
        <rFont val="Arial Narrow"/>
        <family val="2"/>
      </rPr>
      <t xml:space="preserve"> </t>
    </r>
    <r>
      <rPr>
        <sz val="10.5"/>
        <color rgb="FFFF0000"/>
        <rFont val="Arial Narrow"/>
        <family val="2"/>
      </rPr>
      <t>Since that date to ensure the current values represent fair value, Council have applied an index of 2.5% as at 30 June 2022 and 2.5% as at 30 June 2023, using the XYZ Index from ABC. The next full valuation is planned for 30 June XX.</t>
    </r>
  </si>
  <si>
    <r>
      <t xml:space="preserve">A full valuation of bridges assets </t>
    </r>
    <r>
      <rPr>
        <sz val="10.5"/>
        <color rgb="FFFF0000"/>
        <rFont val="Arial Narrow"/>
        <family val="2"/>
      </rPr>
      <t>was undertaken by independent valuers, [insert name], effective 30 June 2021</t>
    </r>
    <r>
      <rPr>
        <sz val="10.5"/>
        <rFont val="Arial Narrow"/>
        <family val="2"/>
      </rPr>
      <t xml:space="preserve">. </t>
    </r>
    <r>
      <rPr>
        <sz val="10.5"/>
        <color rgb="FFFF0000"/>
        <rFont val="Arial Narrow"/>
        <family val="2"/>
      </rPr>
      <t>Since that date to ensure the current values represent fair value, Council have applied an index of 2.5% as at 30 June 2022 and 2.5% as at 30 June 2023, using the XYZ Index from ABC. The next full valuation is planned for 30 June XX.</t>
    </r>
    <r>
      <rPr>
        <sz val="10.5"/>
        <rFont val="Arial Narrow"/>
        <family val="2"/>
      </rPr>
      <t xml:space="preserve"> Each bridge is assessed individually and componentised into sub-assets representing the deck and sub-structure. The valuation is based on the material type used for construction and the deck and sub-structure area. </t>
    </r>
  </si>
  <si>
    <r>
      <t xml:space="preserve">A full valuation of drainage infrastructure was undertaken by Council's Engineer [may include name and qualifications], effective </t>
    </r>
    <r>
      <rPr>
        <sz val="10.5"/>
        <color rgb="FFFF0000"/>
        <rFont val="Arial Narrow"/>
        <family val="2"/>
      </rPr>
      <t>30 June 2021</t>
    </r>
    <r>
      <rPr>
        <sz val="10.5"/>
        <rFont val="Arial Narrow"/>
        <family val="2"/>
      </rPr>
      <t xml:space="preserve">. Similar to roads, drainage assets are managed in segments; pits and pipes being the major components. </t>
    </r>
    <r>
      <rPr>
        <sz val="10.5"/>
        <color rgb="FFFF0000"/>
        <rFont val="Arial Narrow"/>
        <family val="2"/>
      </rPr>
      <t>Since that date to ensure the current values represent fair value, Council have applied an index of 2.5% as at 30 June 2022 and 2.5% as at 30 June 2023, using the XYZ Index factor from ABC. The next full valuation is planned for 30 June XX.</t>
    </r>
  </si>
  <si>
    <r>
      <t xml:space="preserve">In preparation of the 2022-23 financial statements, Council identified buildings incorrectly classified as property, plant and equipment in the 2021-22 and 2020-21 financial statements that should have been reported as investment property. The value of buildings impacted by this error in 2021-22 was $x (2020-21: $x). The measurement basis used to fair value the buildings was correct, however the revaluation adjustment was processed to the revaluation reserve in each year and depreciation was charged against the building contrary to accounting standard AASB 140 </t>
    </r>
    <r>
      <rPr>
        <i/>
        <sz val="10.5"/>
        <color rgb="FF0000FF"/>
        <rFont val="Arial Narrow"/>
        <family val="2"/>
      </rPr>
      <t>Investment Property.</t>
    </r>
  </si>
  <si>
    <r>
      <rPr>
        <vertAlign val="superscript"/>
        <sz val="10.5"/>
        <rFont val="Arial Narrow"/>
        <family val="2"/>
      </rPr>
      <t>1</t>
    </r>
    <r>
      <rPr>
        <sz val="10.5"/>
        <rFont val="Arial Narrow"/>
        <family val="2"/>
      </rPr>
      <t xml:space="preserve"> Includes total cost of providing and maintaining vehicles provided for private use, including registration, insurance, fuel and other consumables, maintenance cost and parking (including notional value of parking provided at premises that are owned or leased and fringe benefits tax).</t>
    </r>
  </si>
  <si>
    <r>
      <rPr>
        <vertAlign val="superscript"/>
        <sz val="10.5"/>
        <color theme="1"/>
        <rFont val="Arial Narrow"/>
        <family val="2"/>
      </rPr>
      <t>2</t>
    </r>
    <r>
      <rPr>
        <sz val="10.5"/>
        <rFont val="Arial Narrow"/>
        <family val="2"/>
      </rPr>
      <t xml:space="preserve"> Section 72(1)cb of the </t>
    </r>
    <r>
      <rPr>
        <i/>
        <sz val="10.5"/>
        <rFont val="Arial Narrow"/>
        <family val="2"/>
      </rPr>
      <t>Local Government Act 1993</t>
    </r>
    <r>
      <rPr>
        <sz val="10.5"/>
        <rFont val="Arial Narrow"/>
        <family val="2"/>
      </rPr>
      <t xml:space="preserve"> requires the disclosure of expenses paid to Councillors. (Describe main expenses types)</t>
    </r>
  </si>
  <si>
    <r>
      <t>Salary</t>
    </r>
    <r>
      <rPr>
        <b/>
        <vertAlign val="superscript"/>
        <sz val="10.5"/>
        <rFont val="Arial Narrow"/>
        <family val="2"/>
      </rPr>
      <t>1</t>
    </r>
  </si>
  <si>
    <r>
      <rPr>
        <vertAlign val="superscript"/>
        <sz val="10.5"/>
        <rFont val="Arial Narrow"/>
        <family val="2"/>
      </rPr>
      <t>1</t>
    </r>
    <r>
      <rPr>
        <sz val="10.5"/>
        <rFont val="Arial Narrow"/>
        <family val="2"/>
      </rPr>
      <t xml:space="preserve"> Gross Salary includes all forms of consideration paid and payable for services rendered, compensated absences during the period and salary sacrifice amounts.</t>
    </r>
  </si>
  <si>
    <r>
      <t xml:space="preserve">The group consists of Council and </t>
    </r>
    <r>
      <rPr>
        <sz val="10.5"/>
        <color rgb="FFFF0000"/>
        <rFont val="Arial Narrow"/>
        <family val="2"/>
      </rPr>
      <t>X</t>
    </r>
    <r>
      <rPr>
        <sz val="10.5"/>
        <color rgb="FF0000FF"/>
        <rFont val="Arial Narrow"/>
        <family val="2"/>
      </rPr>
      <t xml:space="preserve"> subsidiaries.</t>
    </r>
  </si>
  <si>
    <r>
      <t>Cleaning services</t>
    </r>
    <r>
      <rPr>
        <i/>
        <vertAlign val="superscript"/>
        <sz val="10.5"/>
        <color rgb="FF0000FF"/>
        <rFont val="Arial Narrow"/>
        <family val="2"/>
      </rPr>
      <t>1</t>
    </r>
  </si>
  <si>
    <r>
      <t>Supply of building materials</t>
    </r>
    <r>
      <rPr>
        <i/>
        <vertAlign val="superscript"/>
        <sz val="10.5"/>
        <color rgb="FF0000FF"/>
        <rFont val="Arial Narrow"/>
        <family val="2"/>
      </rPr>
      <t>2</t>
    </r>
  </si>
  <si>
    <r>
      <t>Fees and charges</t>
    </r>
    <r>
      <rPr>
        <i/>
        <vertAlign val="superscript"/>
        <sz val="10.5"/>
        <color rgb="FF0000FF"/>
        <rFont val="Arial Narrow"/>
        <family val="2"/>
      </rPr>
      <t>3</t>
    </r>
  </si>
  <si>
    <r>
      <t>Infrastructure contributions</t>
    </r>
    <r>
      <rPr>
        <i/>
        <vertAlign val="superscript"/>
        <sz val="10.5"/>
        <color rgb="FF0000FF"/>
        <rFont val="Arial Narrow"/>
        <family val="2"/>
      </rPr>
      <t>4</t>
    </r>
  </si>
  <si>
    <r>
      <rPr>
        <i/>
        <vertAlign val="superscript"/>
        <sz val="10.5"/>
        <color rgb="FF0000FF"/>
        <rFont val="Arial Narrow"/>
        <family val="2"/>
      </rPr>
      <t>1</t>
    </r>
    <r>
      <rPr>
        <i/>
        <sz val="10.5"/>
        <color rgb="FF0000FF"/>
        <rFont val="Arial Narrow"/>
        <family val="2"/>
      </rPr>
      <t xml:space="preserve"> Council entered into a 3 year contract in </t>
    </r>
    <r>
      <rPr>
        <i/>
        <sz val="10.5"/>
        <color rgb="FFFF0000"/>
        <rFont val="Arial Narrow"/>
        <family val="2"/>
      </rPr>
      <t xml:space="preserve">2021 </t>
    </r>
    <r>
      <rPr>
        <i/>
        <sz val="10.5"/>
        <color rgb="FF0000FF"/>
        <rFont val="Arial Narrow"/>
        <family val="2"/>
      </rPr>
      <t>with CleanMyOffice Pty Ltd, a company which is controlled by a member of the KMP of the Council. The total contract value is $350,000 and the contract was awarded through a competitive tender process based on market rates for these services. Amounts are payable on a quarterly basis for the duration of the contract.</t>
    </r>
  </si>
  <si>
    <r>
      <rPr>
        <i/>
        <vertAlign val="superscript"/>
        <sz val="10.5"/>
        <color rgb="FF0000FF"/>
        <rFont val="Arial Narrow"/>
        <family val="2"/>
      </rPr>
      <t xml:space="preserve">2 </t>
    </r>
    <r>
      <rPr>
        <i/>
        <sz val="10.5"/>
        <color rgb="FF0000FF"/>
        <rFont val="Arial Narrow"/>
        <family val="2"/>
      </rPr>
      <t>Council purchased aggregate concrete during the year from Rock Me Pty Ltd, a company which has a member of Councils KMP as a director. Amounts were billed based on normal rates for such supplies and were due and payable under normal payment terms.</t>
    </r>
  </si>
  <si>
    <r>
      <rPr>
        <i/>
        <vertAlign val="superscript"/>
        <sz val="10.5"/>
        <color rgb="FF0000FF"/>
        <rFont val="Arial Narrow"/>
        <family val="2"/>
      </rPr>
      <t>3</t>
    </r>
    <r>
      <rPr>
        <i/>
        <sz val="10.5"/>
        <color rgb="FF0000FF"/>
        <rFont val="Arial Narrow"/>
        <family val="2"/>
      </rPr>
      <t>Planning fees were received in relation to planning applications from two companies which are associated with Council KMP. The applications relate to blocks of land in Wellington Road and Spring Street. These applications are currently being assessed by Council.</t>
    </r>
  </si>
  <si>
    <r>
      <rPr>
        <i/>
        <vertAlign val="superscript"/>
        <sz val="10.5"/>
        <color rgb="FF0000FF"/>
        <rFont val="Arial Narrow"/>
        <family val="2"/>
      </rPr>
      <t xml:space="preserve">4 </t>
    </r>
    <r>
      <rPr>
        <i/>
        <sz val="10.5"/>
        <color rgb="FF0000FF"/>
        <rFont val="Arial Narrow"/>
        <family val="2"/>
      </rPr>
      <t>Green Developments Pty Ltd, a company jointly controlled by Councillor Fred Smith and a close family member during, completed a new subdivision “Ossa Heights” during the year. In accordance with the infrastructure agreement infrastructure, roads and some parks within the development were handed over to Council. The fair value of this infrastructure at the hand over date was $769,525</t>
    </r>
  </si>
  <si>
    <r>
      <t xml:space="preserve">In accordance with s84(2)(b) of the </t>
    </r>
    <r>
      <rPr>
        <i/>
        <sz val="10.5"/>
        <color rgb="FF0000FF"/>
        <rFont val="Arial Narrow"/>
        <family val="2"/>
      </rPr>
      <t>Local Government Act 1993</t>
    </r>
    <r>
      <rPr>
        <sz val="10.5"/>
        <color rgb="FF0000FF"/>
        <rFont val="Arial Narrow"/>
        <family val="2"/>
      </rPr>
      <t>, no interests have been notified to the General Manager in respect of any body or organisation with which the Council has major financial dealings.</t>
    </r>
  </si>
  <si>
    <r>
      <t xml:space="preserve">In accordance with s84(2)(b) of the </t>
    </r>
    <r>
      <rPr>
        <i/>
        <sz val="10.5"/>
        <color rgb="FF0000FF"/>
        <rFont val="Arial Narrow"/>
        <family val="2"/>
      </rPr>
      <t>Local Government Act 1993</t>
    </r>
    <r>
      <rPr>
        <sz val="10.5"/>
        <color rgb="FF0000FF"/>
        <rFont val="Arial Narrow"/>
        <family val="2"/>
      </rPr>
      <t>, the General Manager has been notified in respect interests in the following entities with which the Council has major financial dealings:</t>
    </r>
  </si>
  <si>
    <r>
      <t>The Council holds</t>
    </r>
    <r>
      <rPr>
        <sz val="10.5"/>
        <color rgb="FF0000FF"/>
        <rFont val="Arial Narrow"/>
        <family val="2"/>
      </rPr>
      <t xml:space="preserve"> 42%</t>
    </r>
    <r>
      <rPr>
        <sz val="10.5"/>
        <rFont val="Arial Narrow"/>
        <family val="2"/>
      </rPr>
      <t xml:space="preserve"> of the ordinary shares of </t>
    </r>
    <r>
      <rPr>
        <sz val="10.5"/>
        <color rgb="FF0000FF"/>
        <rFont val="Arial Narrow"/>
        <family val="2"/>
      </rPr>
      <t>Goreng Ltd</t>
    </r>
    <r>
      <rPr>
        <sz val="10.5"/>
        <rFont val="Arial Narrow"/>
        <family val="2"/>
      </rPr>
      <t xml:space="preserve">. Under a management agreement between Council, </t>
    </r>
    <r>
      <rPr>
        <sz val="10.5"/>
        <color rgb="FF0000FF"/>
        <rFont val="Arial Narrow"/>
        <family val="2"/>
      </rPr>
      <t>Goreng</t>
    </r>
    <r>
      <rPr>
        <sz val="10.5"/>
        <rFont val="Arial Narrow"/>
        <family val="2"/>
      </rPr>
      <t xml:space="preserve"> and the other shareholder, Council is required to make all the financial and operating policy decisions of </t>
    </r>
    <r>
      <rPr>
        <sz val="10.5"/>
        <color rgb="FF0000FF"/>
        <rFont val="Arial Narrow"/>
        <family val="2"/>
      </rPr>
      <t>Goreng</t>
    </r>
    <r>
      <rPr>
        <sz val="10.5"/>
        <rFont val="Arial Narrow"/>
        <family val="2"/>
      </rPr>
      <t xml:space="preserve"> and to ensure that those policies are consistent with the policies of the Group and therefore has control.</t>
    </r>
  </si>
  <si>
    <r>
      <t xml:space="preserve">During the year, the Council disposed of </t>
    </r>
    <r>
      <rPr>
        <sz val="10.5"/>
        <color rgb="FF0000FF"/>
        <rFont val="Arial Narrow"/>
        <family val="2"/>
      </rPr>
      <t>xx%</t>
    </r>
    <r>
      <rPr>
        <sz val="10.5"/>
        <rFont val="Arial Narrow"/>
        <family val="2"/>
      </rPr>
      <t xml:space="preserve"> of its investment in </t>
    </r>
    <r>
      <rPr>
        <sz val="10.5"/>
        <color rgb="FF0000FF"/>
        <rFont val="Arial Narrow"/>
        <family val="2"/>
      </rPr>
      <t>[Name of subsidiary]</t>
    </r>
    <r>
      <rPr>
        <sz val="10.5"/>
        <rFont val="Arial Narrow"/>
        <family val="2"/>
      </rPr>
      <t>, control was maintained and therefore the Group structure did not change, although the non-controlling interest increased. This effect of this transaction on the equity attributable to the Council is shown below:</t>
    </r>
  </si>
  <si>
    <r>
      <t xml:space="preserve">During the year, the Council acquired </t>
    </r>
    <r>
      <rPr>
        <sz val="10.5"/>
        <color rgb="FF0000FF"/>
        <rFont val="Arial Narrow"/>
        <family val="2"/>
      </rPr>
      <t>xx%</t>
    </r>
    <r>
      <rPr>
        <sz val="10.5"/>
        <rFont val="Arial Narrow"/>
        <family val="2"/>
      </rPr>
      <t xml:space="preserve"> additional interest in </t>
    </r>
    <r>
      <rPr>
        <sz val="10.5"/>
        <color rgb="FF0000FF"/>
        <rFont val="Arial Narrow"/>
        <family val="2"/>
      </rPr>
      <t>[Name of Subsidiary],</t>
    </r>
    <r>
      <rPr>
        <sz val="10.5"/>
        <rFont val="Arial Narrow"/>
        <family val="2"/>
      </rPr>
      <t xml:space="preserve"> control was maintained and therefore the Group structure did not change, although the non-controlling interest decreased. This effect of this transaction on the Council interest is shown below:</t>
    </r>
  </si>
  <si>
    <r>
      <t xml:space="preserve">The unrecognised share of losses of joint ventures due to the Council’s interest being reduced to zero under the equity methods are </t>
    </r>
    <r>
      <rPr>
        <sz val="10.5"/>
        <color rgb="FF0000FF"/>
        <rFont val="Arial Narrow"/>
        <family val="2"/>
      </rPr>
      <t xml:space="preserve">$xx </t>
    </r>
    <r>
      <rPr>
        <sz val="10.5"/>
        <rFont val="Arial Narrow"/>
        <family val="2"/>
      </rPr>
      <t xml:space="preserve">for the reporting period and </t>
    </r>
    <r>
      <rPr>
        <sz val="10.5"/>
        <color rgb="FF0000FF"/>
        <rFont val="Arial Narrow"/>
        <family val="2"/>
      </rPr>
      <t>$xx</t>
    </r>
    <r>
      <rPr>
        <sz val="10.5"/>
        <rFont val="Arial Narrow"/>
        <family val="2"/>
      </rPr>
      <t xml:space="preserve"> on a cumulative basis.</t>
    </r>
  </si>
  <si>
    <r>
      <t>The unrecognised share of losses of associates due to the Council’s interest being reduced to zero under the equity methods are</t>
    </r>
    <r>
      <rPr>
        <sz val="10.5"/>
        <color rgb="FF0000FF"/>
        <rFont val="Arial Narrow"/>
        <family val="2"/>
      </rPr>
      <t xml:space="preserve"> $xx</t>
    </r>
    <r>
      <rPr>
        <sz val="10.5"/>
        <rFont val="Arial Narrow"/>
        <family val="2"/>
      </rPr>
      <t xml:space="preserve"> for the reporting period and </t>
    </r>
    <r>
      <rPr>
        <sz val="10.5"/>
        <color rgb="FF0000FF"/>
        <rFont val="Arial Narrow"/>
        <family val="2"/>
      </rPr>
      <t>$xx</t>
    </r>
    <r>
      <rPr>
        <sz val="10.5"/>
        <rFont val="Arial Narrow"/>
        <family val="2"/>
      </rPr>
      <t xml:space="preserve"> on a cumulative basis.</t>
    </r>
  </si>
  <si>
    <r>
      <t xml:space="preserve">AASB 11 </t>
    </r>
    <r>
      <rPr>
        <i/>
        <sz val="10.5"/>
        <rFont val="Arial Narrow"/>
        <family val="2"/>
      </rPr>
      <t xml:space="preserve">Joint Arrangements </t>
    </r>
    <r>
      <rPr>
        <sz val="10.5"/>
        <rFont val="Arial Narrow"/>
        <family val="2"/>
      </rPr>
      <t>defines a joint arrangement as an arrangement of which two or more parties have joint control and classifies these arrangements as either joint ventures or joint operations. The Council has determined that it has</t>
    </r>
    <r>
      <rPr>
        <sz val="10.5"/>
        <color rgb="FF0000FF"/>
        <rFont val="Arial Narrow"/>
        <family val="2"/>
      </rPr>
      <t xml:space="preserve"> [both joint ventures and joint operations / only joint ventures / only joint operations] – Councils to delete as applicable. </t>
    </r>
  </si>
  <si>
    <r>
      <t xml:space="preserve">Joint ventures are those joint arrangements which provide the Council with rights to the net assets of the arrangements. Interests in joint ventures are accounted for using the equity method in accordance with AASB 128 </t>
    </r>
    <r>
      <rPr>
        <i/>
        <sz val="10.5"/>
        <rFont val="Arial Narrow"/>
        <family val="2"/>
      </rPr>
      <t>Associates and Joint Ventures</t>
    </r>
    <r>
      <rPr>
        <sz val="10.5"/>
        <rFont val="Arial Narrow"/>
        <family val="2"/>
      </rPr>
      <t>. Under this method, the investment is initially recognised as cost and the carrying amount is increased or decreased to recognise the Council’s share of the profit or loss and other comprehensive income of the investee after the date of acquisition. If the Council’s share of losses of a joint venture equals or exceeds its interest in the joint venture, the Council discontinues recognising its share of further losses. The Council’s share in the joint ventures gains or losses arising from transactions between itself and its joint venture are eliminated. Adjustments are made to the joint ventures accounting policies where they are different from those of the Council for the purpose of the consolidated financial statements.</t>
    </r>
  </si>
  <si>
    <r>
      <t>Interests in associates, where the Council has significant influence over the investee, are accounted for using the equity method in accordance with AASB 128</t>
    </r>
    <r>
      <rPr>
        <i/>
        <sz val="10.5"/>
        <rFont val="Arial Narrow"/>
        <family val="2"/>
      </rPr>
      <t xml:space="preserve"> Associates and Joint Ventures</t>
    </r>
    <r>
      <rPr>
        <sz val="10.5"/>
        <rFont val="Arial Narrow"/>
        <family val="2"/>
      </rPr>
      <t>. Under this method, the investment is initially recognised at cost and the carrying amount is increased or decreased to recognise the Council’s share of the profit or loss and other comprehensive income of the investee after the date of acquisition.</t>
    </r>
  </si>
  <si>
    <r>
      <t xml:space="preserve">Financial guarantee contracts are recognised as a liability at the time the guarantee is issued. The liability is initially measured at fair value, and if there is material increase in the likelihood that the guarantee may have to be exercised, at the higher of the amount determined in accordance with AASB 137 </t>
    </r>
    <r>
      <rPr>
        <i/>
        <sz val="10.5"/>
        <rFont val="Arial Narrow"/>
        <family val="2"/>
      </rPr>
      <t>Provisions, Contingent Liabilities and Contingent Assets</t>
    </r>
    <r>
      <rPr>
        <sz val="10.5"/>
        <rFont val="Arial Narrow"/>
        <family val="2"/>
      </rPr>
      <t xml:space="preserve"> and the amount initially recognised less cumulative amortisation, where appropriate. In the determination of fair value, consideration is given to factors including the probability of default by the guaranteed party and the likely loss to Council in the event of default. </t>
    </r>
  </si>
  <si>
    <r>
      <t xml:space="preserve">AASB 2022-10 </t>
    </r>
    <r>
      <rPr>
        <i/>
        <sz val="10.5"/>
        <color rgb="FF0000FF"/>
        <rFont val="Arial Narrow"/>
        <family val="2"/>
      </rPr>
      <t>Amendments to Australian Accounting Standards – Fair Value Measurement of Non-Financial Assets of Not-for-Profit Public Sector Entities.</t>
    </r>
  </si>
  <si>
    <r>
      <t>&lt;</t>
    </r>
    <r>
      <rPr>
        <sz val="10.5"/>
        <rFont val="Arial Narrow"/>
        <family val="2"/>
      </rPr>
      <t>General Manager's Name&gt;</t>
    </r>
  </si>
  <si>
    <r>
      <t xml:space="preserve">The accompanying financial statements of the </t>
    </r>
    <r>
      <rPr>
        <sz val="10.5"/>
        <color rgb="FF0000FF"/>
        <rFont val="Arial Narrow"/>
        <family val="2"/>
      </rPr>
      <t>(specify the Council name together with the words “and related bodies” if applicable)</t>
    </r>
    <r>
      <rPr>
        <sz val="10.5"/>
        <rFont val="Arial Narrow"/>
        <family val="2"/>
      </rPr>
      <t xml:space="preserve"> are in agreement with the relevant accounts and records and have been prepared in compliance with:</t>
    </r>
  </si>
  <si>
    <r>
      <t xml:space="preserve">•  the </t>
    </r>
    <r>
      <rPr>
        <i/>
        <sz val="10.5"/>
        <rFont val="Arial Narrow"/>
        <family val="2"/>
      </rPr>
      <t>Local Government Act 1993</t>
    </r>
  </si>
  <si>
    <r>
      <t>&lt;CFO</t>
    </r>
    <r>
      <rPr>
        <sz val="10.5"/>
        <rFont val="Arial Narrow"/>
        <family val="2"/>
      </rPr>
      <t>'s Name&gt;</t>
    </r>
  </si>
  <si>
    <r>
      <t>Vehicles</t>
    </r>
    <r>
      <rPr>
        <b/>
        <vertAlign val="superscript"/>
        <sz val="10.5"/>
        <rFont val="Arial Narrow"/>
        <family val="2"/>
      </rPr>
      <t>1</t>
    </r>
  </si>
  <si>
    <r>
      <t>Expenses</t>
    </r>
    <r>
      <rPr>
        <b/>
        <vertAlign val="superscript"/>
        <sz val="10.5"/>
        <rFont val="Arial Narrow"/>
        <family val="2"/>
      </rPr>
      <t>2</t>
    </r>
  </si>
  <si>
    <r>
      <t xml:space="preserve">Acting Arrangements </t>
    </r>
    <r>
      <rPr>
        <sz val="10.5"/>
        <color rgb="FF0000FF"/>
        <rFont val="Arial Narrow"/>
        <family val="2"/>
      </rPr>
      <t>[Include if relevant]</t>
    </r>
  </si>
  <si>
    <r>
      <t>Other &lt;</t>
    </r>
    <r>
      <rPr>
        <i/>
        <sz val="10"/>
        <rFont val="Arial Narrow"/>
        <family val="2"/>
      </rPr>
      <t>insert details&gt;</t>
    </r>
  </si>
  <si>
    <t>&lt;Due by 14 August 2024&gt;</t>
  </si>
  <si>
    <r>
      <t xml:space="preserve">The financial report presents fairly the financial position of the </t>
    </r>
    <r>
      <rPr>
        <sz val="10.5"/>
        <color rgb="FF0070C0"/>
        <rFont val="Arial Narrow"/>
        <family val="2"/>
      </rPr>
      <t>[Council Name]</t>
    </r>
    <r>
      <rPr>
        <sz val="10.5"/>
        <rFont val="Arial Narrow"/>
        <family val="2"/>
      </rPr>
      <t xml:space="preserve"> as at 30 June 2024 and the results of its operations and cash flows for the year then ended, in accordance with the </t>
    </r>
    <r>
      <rPr>
        <i/>
        <sz val="10.5"/>
        <rFont val="Arial Narrow"/>
        <family val="2"/>
      </rPr>
      <t>Local Government Act 1993</t>
    </r>
    <r>
      <rPr>
        <sz val="10.5"/>
        <rFont val="Arial Narrow"/>
        <family val="2"/>
      </rPr>
      <t xml:space="preserve"> (as amended), Australian Accounting Standards and other authoritative pronouncements issued by the Australian Accounting Standards Board.</t>
    </r>
  </si>
  <si>
    <t>xx/xx/ 2024</t>
  </si>
  <si>
    <t>Total unspent funds held as a contract liability</t>
  </si>
  <si>
    <t>Council's cash and cash equivalents are subject to a number of external restrictions and internal commitments that limit amounts available for discretionary or future use. These include:</t>
  </si>
  <si>
    <t>i) Refundable building, contract and other refundable amounts held in trust by Council for completion of specific purposes.</t>
  </si>
  <si>
    <r>
      <t xml:space="preserve">v) </t>
    </r>
    <r>
      <rPr>
        <i/>
        <sz val="10.5"/>
        <rFont val="Arial Narrow"/>
        <family val="2"/>
      </rPr>
      <t>Specify details of discretionary reserve…..</t>
    </r>
  </si>
  <si>
    <r>
      <t xml:space="preserve">v) </t>
    </r>
    <r>
      <rPr>
        <i/>
        <sz val="10.5"/>
        <rFont val="Arial Narrow"/>
        <family val="2"/>
      </rPr>
      <t>Specify other…</t>
    </r>
  </si>
  <si>
    <t>Items of works in progress that were expensed instead of being capitalised are also recognised in the Statement of comprehensive income under other expenses (or detail where they have been presented)</t>
  </si>
  <si>
    <t>Impairment
losses or items expensed</t>
  </si>
  <si>
    <t>(a) Impairment losses or items expensed</t>
  </si>
  <si>
    <t>Funds received to acquire or construct an asset controlled by Council</t>
  </si>
  <si>
    <t>Transfers from</t>
  </si>
  <si>
    <t>Transfers To</t>
  </si>
  <si>
    <t>The Fund has been classified as a multi-employer sponsored plan.  As the Fund’s assets and liabilities are pooled and are not allocated by employer, the Actuary is unable to allocate benefit liabilities, assets and costs between employers. Thus the Fund is not able to prepare standard AASB119 defined benefit reporting.</t>
  </si>
  <si>
    <t>The Council has entered into the following commitments. Commitments are not recognised in the Balance Sheet. Commitments are disclosed at their nominal value and presented inclusive of the GST payable.</t>
  </si>
  <si>
    <t>Not later than 1 year</t>
  </si>
  <si>
    <t>Later than 1 year and not later than 5 years</t>
  </si>
  <si>
    <t>122 - 123(d)</t>
  </si>
  <si>
    <t>2023-2024 Financial Report</t>
  </si>
  <si>
    <t>FOR THE YEAR ENDED 30 JUNE 2024</t>
  </si>
  <si>
    <t>For the Year Ended 30 June 2024</t>
  </si>
  <si>
    <t>For the Year Ended 30 June 2024 (Continued)</t>
  </si>
  <si>
    <t>As at 30 June 2024</t>
  </si>
  <si>
    <t>For the Year Ended 30 June 2024 (Cont'd)</t>
  </si>
  <si>
    <t>2023-24</t>
  </si>
  <si>
    <t>Council has exposure to the following risks from its use of financial instruments:</t>
  </si>
  <si>
    <t>The exposure to interest rate risk and the effective interest rates of financial assets and non-lease financial liabilities, both recognised and unrecognised, at balance date are as follows. For lease liabilities refer to note 7.4</t>
  </si>
  <si>
    <r>
      <t>At balance date, other debtors representing financial assets with a nominal value of</t>
    </r>
    <r>
      <rPr>
        <sz val="10.5"/>
        <color rgb="FF0000FF"/>
        <rFont val="Arial Narrow"/>
        <family val="2"/>
      </rPr>
      <t xml:space="preserve"> $XXX (2022-23: $XXX) </t>
    </r>
    <r>
      <rPr>
        <sz val="10.5"/>
        <rFont val="Arial Narrow"/>
        <family val="2"/>
      </rPr>
      <t xml:space="preserve">were impaired.  The amount of the provision raised against these debtors was </t>
    </r>
    <r>
      <rPr>
        <sz val="10.5"/>
        <color rgb="FF0000FF"/>
        <rFont val="Arial Narrow"/>
        <family val="2"/>
      </rPr>
      <t>$XXX ( $XXX</t>
    </r>
    <r>
      <rPr>
        <sz val="10.5"/>
        <rFont val="Arial Narrow"/>
        <family val="2"/>
      </rPr>
      <t>).  The individually impaired debtors relate to general and sundry debtor and have been impaired as a result of their doubtful collection. Many of the long outstanding past due amounts have been lodged with Council's debt collectors or are on payment arrangements.</t>
    </r>
  </si>
  <si>
    <t>Market risk is the risk that the fair value or future cash flows of our financial instruments will fluctuate because of changes in market prices. Council's exposures to market risk are primarily through interest rate risk with only insignificant exposure to other price risks and no exposure to foreign currency risk. Refer to the previous Interest Rate risk discussion for details on market risk exposures.</t>
  </si>
  <si>
    <t>Sensitivity disclosure analysis</t>
  </si>
  <si>
    <r>
      <t>Vehicles</t>
    </r>
    <r>
      <rPr>
        <b/>
        <vertAlign val="superscript"/>
        <sz val="10.5"/>
        <rFont val="Arial Narrow"/>
        <family val="2"/>
      </rPr>
      <t>2</t>
    </r>
  </si>
  <si>
    <r>
      <t>Other Allowances and Benefits</t>
    </r>
    <r>
      <rPr>
        <b/>
        <vertAlign val="superscript"/>
        <sz val="10.5"/>
        <rFont val="Arial Narrow"/>
        <family val="2"/>
      </rPr>
      <t>3</t>
    </r>
  </si>
  <si>
    <r>
      <t>Super-annuation</t>
    </r>
    <r>
      <rPr>
        <b/>
        <vertAlign val="superscript"/>
        <sz val="10.5"/>
        <rFont val="Arial Narrow"/>
        <family val="2"/>
      </rPr>
      <t>4</t>
    </r>
  </si>
  <si>
    <r>
      <t>Termination Benefits</t>
    </r>
    <r>
      <rPr>
        <b/>
        <vertAlign val="superscript"/>
        <sz val="10.5"/>
        <rFont val="Arial Narrow"/>
        <family val="2"/>
      </rPr>
      <t>5</t>
    </r>
  </si>
  <si>
    <r>
      <t>Non-monetary Benefits</t>
    </r>
    <r>
      <rPr>
        <b/>
        <vertAlign val="superscript"/>
        <sz val="10.5"/>
        <rFont val="Arial Narrow"/>
        <family val="2"/>
      </rPr>
      <t>6</t>
    </r>
  </si>
  <si>
    <r>
      <rPr>
        <vertAlign val="superscript"/>
        <sz val="10.5"/>
        <color theme="1"/>
        <rFont val="Arial Narrow"/>
        <family val="2"/>
      </rPr>
      <t>2</t>
    </r>
    <r>
      <rPr>
        <sz val="10.5"/>
        <rFont val="Arial Narrow"/>
        <family val="2"/>
      </rPr>
      <t xml:space="preserve"> Includes total cost of providing and maintaining vehicles provided for private use, including registration, insurance, fuel and other consumables, maintenance cost and parking (including notional value of parking provided at premises that are owned or leased and fringe benefits tax).</t>
    </r>
  </si>
  <si>
    <r>
      <rPr>
        <vertAlign val="superscript"/>
        <sz val="10.5"/>
        <color theme="1"/>
        <rFont val="Arial Narrow"/>
        <family val="2"/>
      </rPr>
      <t>3</t>
    </r>
    <r>
      <rPr>
        <sz val="10.5"/>
        <rFont val="Arial Narrow"/>
        <family val="2"/>
      </rPr>
      <t xml:space="preserve"> Other allowances and benefits includes all other forms of employment allowances (excludes reimbursements such as travel, accommodation or meals), payments in lieu of leave, and any other compensation paid and payable. </t>
    </r>
    <r>
      <rPr>
        <sz val="10.5"/>
        <color rgb="FF0000FF"/>
        <rFont val="Arial Narrow"/>
        <family val="2"/>
      </rPr>
      <t>[Provide sufficient and relevant information to meet the intent of improved transparency through greater disclosure of remuneration arrangements]</t>
    </r>
  </si>
  <si>
    <r>
      <rPr>
        <vertAlign val="superscript"/>
        <sz val="10.5"/>
        <color theme="1"/>
        <rFont val="Arial Narrow"/>
        <family val="2"/>
      </rPr>
      <t>4</t>
    </r>
    <r>
      <rPr>
        <sz val="10.5"/>
        <rFont val="Arial Narrow"/>
        <family val="2"/>
      </rPr>
      <t xml:space="preserve"> Superannuation means the contribution to the superannuation fund of the individual.  Superannuation benefits for members of a defined benefit scheme were calculated using a notional cost based on </t>
    </r>
    <r>
      <rPr>
        <sz val="10.5"/>
        <color rgb="FF0070C0"/>
        <rFont val="Arial Narrow"/>
        <family val="2"/>
      </rPr>
      <t xml:space="preserve">….... </t>
    </r>
    <r>
      <rPr>
        <sz val="10.5"/>
        <color rgb="FF0000FF"/>
        <rFont val="Arial Narrow"/>
        <family val="2"/>
      </rPr>
      <t>[Specify]</t>
    </r>
  </si>
  <si>
    <r>
      <rPr>
        <vertAlign val="superscript"/>
        <sz val="10.5"/>
        <color theme="1"/>
        <rFont val="Arial Narrow"/>
        <family val="2"/>
      </rPr>
      <t>5</t>
    </r>
    <r>
      <rPr>
        <sz val="10.5"/>
        <rFont val="Arial Narrow"/>
        <family val="2"/>
      </rPr>
      <t xml:space="preserve"> Termination benefits include all forms of benefit paid or accrued as a consequence of termination. </t>
    </r>
  </si>
  <si>
    <r>
      <rPr>
        <vertAlign val="superscript"/>
        <sz val="10.5"/>
        <color theme="1"/>
        <rFont val="Arial Narrow"/>
        <family val="2"/>
      </rPr>
      <t>6</t>
    </r>
    <r>
      <rPr>
        <sz val="10.5"/>
        <rFont val="Arial Narrow"/>
        <family val="2"/>
      </rPr>
      <t xml:space="preserve"> Non-monetary benefits include annual and long service leave movements and non-monetary benefits (such as housing, subsidised goods or services etc)  </t>
    </r>
    <r>
      <rPr>
        <sz val="10.5"/>
        <color rgb="FF0070C0"/>
        <rFont val="Arial Narrow"/>
        <family val="2"/>
      </rPr>
      <t>…....</t>
    </r>
    <r>
      <rPr>
        <sz val="10.5"/>
        <color rgb="FFFF0000"/>
        <rFont val="Arial Narrow"/>
        <family val="2"/>
      </rPr>
      <t xml:space="preserve"> </t>
    </r>
    <r>
      <rPr>
        <sz val="10.5"/>
        <color rgb="FF0000FF"/>
        <rFont val="Arial Narrow"/>
        <family val="2"/>
      </rPr>
      <t xml:space="preserve">[Provide sufficient and relevant information to meet the intent of improved transparency through greater disclosure of remuneration arrangements] </t>
    </r>
  </si>
  <si>
    <r>
      <t xml:space="preserve">The estimated revenue and expense amounts in the Statement of Comprehensive Income represent </t>
    </r>
    <r>
      <rPr>
        <sz val="10.5"/>
        <color rgb="FFFF0000"/>
        <rFont val="Arial Narrow"/>
        <family val="2"/>
      </rPr>
      <t xml:space="preserve">original budget amounts / revised budget estimates (date) </t>
    </r>
    <r>
      <rPr>
        <sz val="10.5"/>
        <color rgb="FF0000FF"/>
        <rFont val="Arial Narrow"/>
        <family val="2"/>
      </rPr>
      <t>and are not audited.</t>
    </r>
  </si>
  <si>
    <r>
      <t xml:space="preserve">This Standard modifies AASB 13 </t>
    </r>
    <r>
      <rPr>
        <i/>
        <sz val="10.5"/>
        <color rgb="FF0000FF"/>
        <rFont val="Arial Narrow"/>
        <family val="2"/>
      </rPr>
      <t>Fair Value Measurement</t>
    </r>
    <r>
      <rPr>
        <sz val="10.5"/>
        <color rgb="FF0000FF"/>
        <rFont val="Arial Narrow"/>
        <family val="2"/>
      </rPr>
      <t xml:space="preserve"> for application by not-for-profit public sector entities such as Council. It includes authoritative implementation guidance when fair valuing non-financial assets, not held primarily for their ability to generate cash inflows. This includes guidance and clarification regarding the determination of an assets highest and best use, the development and use of internal assumptions for unobservable inputs and allows for greater use of internal judgements when applying the cost approach in the measurement and determination of fair values.  Although Council is yet to fully determine the impact of this standard, the changes will be evaluated in the future assessment of all property and infrastructure assets measured at fair value. The Standard applies prospectively to annual periods beginning on or after </t>
    </r>
    <r>
      <rPr>
        <b/>
        <sz val="10.5"/>
        <color rgb="FFFF0000"/>
        <rFont val="Arial Narrow"/>
        <family val="2"/>
      </rPr>
      <t>1 January 2025</t>
    </r>
    <r>
      <rPr>
        <sz val="10.5"/>
        <color rgb="FF0000FF"/>
        <rFont val="Arial Narrow"/>
        <family val="2"/>
      </rPr>
      <t>, with earlier application permitted.</t>
    </r>
  </si>
  <si>
    <t>Payments to employees</t>
  </si>
  <si>
    <t>Capital grants</t>
  </si>
  <si>
    <t>Wording Updated</t>
  </si>
  <si>
    <r>
      <t xml:space="preserve">AASB 7 </t>
    </r>
    <r>
      <rPr>
        <i/>
        <sz val="10.5"/>
        <color rgb="FF0000FF"/>
        <rFont val="Arial Narrow"/>
        <family val="2"/>
      </rPr>
      <t>Financial Instruments: Disclosures</t>
    </r>
    <r>
      <rPr>
        <sz val="10.5"/>
        <color rgb="FF0000FF"/>
        <rFont val="Arial Narrow"/>
        <family val="2"/>
      </rPr>
      <t xml:space="preserve"> para 35A, requires quantitative disclosures to be considered as set out in paragraphs 35F-35N.  This Note includes the provision for Councils to disclose details relating to impairment and detail any loss assessment. Where a Council does not expect any ECL and nothing is past due  - this should be clearly stated. Where there is an assessment that there is impairment, disclosures similar to those at Note 9.11(d) should be presented, including the movement in impairment and aging disclosures. (Alternatively such disclosures could be combined with Note 9.11(d) ).</t>
    </r>
  </si>
  <si>
    <t>Comment on indexation included within the Revaluation discussion.</t>
  </si>
  <si>
    <t>7.3a</t>
  </si>
  <si>
    <t xml:space="preserve">9.1(b) and (c) </t>
  </si>
  <si>
    <t>Additional headings added in for reserves</t>
  </si>
  <si>
    <t>Suggestion included for Trust funds &amp; deposits movements (if applicable).</t>
  </si>
  <si>
    <t>Commitments table updated - include yearly groupings</t>
  </si>
  <si>
    <t>9.11(a)</t>
  </si>
  <si>
    <t>Note redesigned so it flows better, addressing each risk in turn. Also includes an introductory comment and certain text moved around within Note 9.</t>
  </si>
  <si>
    <t>Note 9.11(c)</t>
  </si>
  <si>
    <t>Note 9.11(a) &amp; (b)</t>
  </si>
  <si>
    <t>9.11 (c) onwards</t>
  </si>
  <si>
    <t>As per above, items moved around to assist in the flow of discussion (fair value moved to the end, other text moved around etc)</t>
  </si>
  <si>
    <t>Note 10.1(i)</t>
  </si>
  <si>
    <t>Note 10.1(ii)</t>
  </si>
  <si>
    <t>Note 10.1(ii) &amp;  Note 10.2</t>
  </si>
  <si>
    <t xml:space="preserve">As per above  </t>
  </si>
  <si>
    <r>
      <t>When preparing this note, Councils should review new and amended AASB Standards and Interpretations that apply to 2023-24 and consider their relevance and impact. 
Where no new standards are identified, Councils should note that:
"</t>
    </r>
    <r>
      <rPr>
        <i/>
        <sz val="10.5"/>
        <color rgb="FF0000FF"/>
        <rFont val="Arial Narrow"/>
        <family val="2"/>
      </rPr>
      <t>In the current year, Council has reviewed and assessed all the new and revised Standards and Interpretations issued by the Australian Accounting Standards Board, and determined that none would have a material effect on Council's operations or financial reporting</t>
    </r>
    <r>
      <rPr>
        <sz val="10.5"/>
        <color rgb="FF0000FF"/>
        <rFont val="Arial Narrow"/>
        <family val="2"/>
      </rPr>
      <t xml:space="preserve">." </t>
    </r>
  </si>
  <si>
    <t>10.4(g)</t>
  </si>
  <si>
    <t>10.4 (h)</t>
  </si>
  <si>
    <r>
      <t xml:space="preserve">The financial statement submission deadline of the 14th August falls on a </t>
    </r>
    <r>
      <rPr>
        <b/>
        <sz val="10"/>
        <rFont val="Arial Narrow"/>
        <family val="2"/>
      </rPr>
      <t>Wednesday</t>
    </r>
    <r>
      <rPr>
        <sz val="10"/>
        <rFont val="Arial Narrow"/>
        <family val="2"/>
      </rPr>
      <t xml:space="preserve"> this year.
Electronic submission can be made to admin@audit.tas.gov.au </t>
    </r>
  </si>
  <si>
    <t>Statutory fees and fines are recognised as income when the service has been provided, the payment is received, or when the penalty has been applied, whichever first occurs.</t>
  </si>
  <si>
    <t>User fees by timing of revenue recognition</t>
  </si>
  <si>
    <t>User fees recognised over time</t>
  </si>
  <si>
    <t>User fees recognised at a point in time</t>
  </si>
  <si>
    <r>
      <t xml:space="preserve">Council recognises revenue from user fees and charges </t>
    </r>
    <r>
      <rPr>
        <sz val="10.5"/>
        <color rgb="FFFF0000"/>
        <rFont val="Arial Narrow"/>
        <family val="2"/>
      </rPr>
      <t>at a point in time or over time</t>
    </r>
    <r>
      <rPr>
        <sz val="10.5"/>
        <rFont val="Arial Narrow"/>
        <family val="2"/>
      </rPr>
      <t xml:space="preserve"> as the performance obligation is completed and the customer receives the benefit of the goods / services being provided.</t>
    </r>
  </si>
  <si>
    <t>Other income recognised over time</t>
  </si>
  <si>
    <t>Other income recognised at a point in time</t>
  </si>
  <si>
    <t>Total Grants</t>
  </si>
  <si>
    <t>Timing of revenue recognition</t>
  </si>
  <si>
    <t>Grants recognised over time</t>
  </si>
  <si>
    <t>Grants recognised at a point in time</t>
  </si>
  <si>
    <t>Total  grants</t>
  </si>
  <si>
    <t xml:space="preserve">Council recognises untied grant revenue and those without performance obligations when received. In cases where there is an enforceable agreement which contains sufficiently specific performance obligations, revenue is recognised as or when control of each performance obligations is satisfied. (i.e. when it transfers control of a product or provides a service.)  A contract liability is recognised for unspent funds received in advance and then recognised as income as obligations are fulfilled.  </t>
  </si>
  <si>
    <t>Grants updated to reflect the requirement in AASB15.114 to depict the nature and timing of transfer of revenue categories in accordance with guidance in paragraph B89(f). Other wording adjustments as highlighted.</t>
  </si>
  <si>
    <t>Reversals of impairment losses are recognised in the Statement of comprehensive income under other revenue.</t>
  </si>
  <si>
    <r>
      <t>Items of works in progress that were expensed instead of being capitalised are also recognised in the Statement of comprehensive income under other expenses</t>
    </r>
    <r>
      <rPr>
        <sz val="10"/>
        <color rgb="FF0070C0"/>
        <rFont val="Arial Narrow"/>
        <family val="2"/>
      </rPr>
      <t xml:space="preserve"> (or detail where they have been presented)</t>
    </r>
  </si>
  <si>
    <t>Reworded &amp; includes reference to indexation</t>
  </si>
  <si>
    <t>The application of Fund assets on Spirit Super being wound-up is set out in Rule 20.2. This Rule provides that expenses and taxation liabilities should have first call on the available assets. Additional assets will initially be applied for the benefit of the then remaining members and/or their Dependants in such manner as the Trustee considers equitable and appropriate in accordance with the Applicable Requirements (broadly, superannuation and taxation legislative requirements and other requirements as determined by the regulators).</t>
  </si>
  <si>
    <t>Council input is required here</t>
  </si>
  <si>
    <r>
      <rPr>
        <sz val="10.5"/>
        <rFont val="Arial Narrow"/>
        <family val="2"/>
      </rPr>
      <t>During the reporting period the amount of superannuation contributions paid to defined benefits schemes wa</t>
    </r>
    <r>
      <rPr>
        <sz val="10.5"/>
        <color rgb="FF0070C0"/>
        <rFont val="Arial Narrow"/>
        <family val="2"/>
      </rPr>
      <t xml:space="preserve">s $xx xxx (2022-23, $xxx), </t>
    </r>
    <r>
      <rPr>
        <sz val="10.5"/>
        <rFont val="Arial Narrow"/>
        <family val="2"/>
      </rPr>
      <t>and the amount paid to accumulation schemes was</t>
    </r>
    <r>
      <rPr>
        <sz val="10.5"/>
        <color rgb="FF0070C0"/>
        <rFont val="Arial Narrow"/>
        <family val="2"/>
      </rPr>
      <t xml:space="preserve"> $xx xxx (2022-23, $xxx).</t>
    </r>
  </si>
  <si>
    <r>
      <rPr>
        <sz val="10.5"/>
        <rFont val="Arial Narrow"/>
        <family val="2"/>
      </rPr>
      <t>During the next reporting period the expected amount of superannuation contributions to be paid to defined benefits schemes is</t>
    </r>
    <r>
      <rPr>
        <sz val="10.5"/>
        <color rgb="FF0070C0"/>
        <rFont val="Arial Narrow"/>
        <family val="2"/>
      </rPr>
      <t xml:space="preserve"> $xx xxx, an</t>
    </r>
    <r>
      <rPr>
        <sz val="10.5"/>
        <rFont val="Arial Narrow"/>
        <family val="2"/>
      </rPr>
      <t>d the amount to be paid to accumulation schemes is</t>
    </r>
    <r>
      <rPr>
        <sz val="10.5"/>
        <color rgb="FF0070C0"/>
        <rFont val="Arial Narrow"/>
        <family val="2"/>
      </rPr>
      <t xml:space="preserve"> $xx xxx.</t>
    </r>
  </si>
  <si>
    <t xml:space="preserve"> (a) Interest rate risk</t>
  </si>
  <si>
    <t xml:space="preserve"> (c) Liquidity risk; and</t>
  </si>
  <si>
    <t xml:space="preserve"> (b) Credit risk</t>
  </si>
  <si>
    <t>(a) Interest Rate Risk</t>
  </si>
  <si>
    <t>(b) Credit risk (Continued)</t>
  </si>
  <si>
    <t>(d) Market risk</t>
  </si>
  <si>
    <t>(c) Liquidity risk</t>
  </si>
  <si>
    <t>Fair Value</t>
  </si>
  <si>
    <r>
      <t xml:space="preserve">AASB 2022- 6 </t>
    </r>
    <r>
      <rPr>
        <i/>
        <sz val="10.5"/>
        <color rgb="FF0000FF"/>
        <rFont val="Arial Narrow"/>
        <family val="2"/>
      </rPr>
      <t>Amendments to Australian Accounting Standards – Non-current Liabilities with Covenants</t>
    </r>
  </si>
  <si>
    <r>
      <t xml:space="preserve">This Standard amends AASB 101 </t>
    </r>
    <r>
      <rPr>
        <i/>
        <sz val="10.5"/>
        <color rgb="FF0000FF"/>
        <rFont val="Arial Narrow"/>
        <family val="2"/>
      </rPr>
      <t>Presentation of Financial Statements</t>
    </r>
    <r>
      <rPr>
        <sz val="10.5"/>
        <color rgb="FF0000FF"/>
        <rFont val="Arial Narrow"/>
        <family val="2"/>
      </rPr>
      <t xml:space="preserve"> to improve the information an entity provides in its financial statements about long‑term liabilities with covenants where the entity’s right to defer settlement of those liabilities for at least twelve months after the reporting period is subject to the entity complying with conditions specified in the loan arrangement. The amendments are effective for annual periods beginning on or after 1 January 2024. Council will assess any impact of the modifications to AASB 101 ahead of the 2024-25 reporting period. </t>
    </r>
  </si>
  <si>
    <r>
      <t xml:space="preserve">Pending Standard - AASB 2022- 6 </t>
    </r>
    <r>
      <rPr>
        <i/>
        <sz val="10"/>
        <rFont val="Arial Narrow"/>
        <family val="2"/>
      </rPr>
      <t>Amendments to Australian Accounting Standards – Non-current Liabilities with Covenants</t>
    </r>
    <r>
      <rPr>
        <sz val="10"/>
        <rFont val="Arial Narrow"/>
        <family val="2"/>
      </rPr>
      <t xml:space="preserve"> will need to be considered by councils where the right to defer settlement of a liability arising from a loan arrangement, for at least twelve months after the reporting period, is potentially subject to council complying with certain conditions (or ‘covenants’), specified in that loan arrangement. Some example wording has been included.</t>
    </r>
  </si>
  <si>
    <t>Councils with no employees in the Fund need not include this note.</t>
  </si>
  <si>
    <t xml:space="preserve"> (d) Market risk.</t>
  </si>
  <si>
    <r>
      <rPr>
        <b/>
        <sz val="11"/>
        <rFont val="Arial"/>
        <family val="2"/>
      </rPr>
      <t>Other Common questions:</t>
    </r>
    <r>
      <rPr>
        <sz val="11"/>
        <rFont val="Arial"/>
        <family val="2"/>
      </rPr>
      <t xml:space="preserve">
Q-</t>
    </r>
    <r>
      <rPr>
        <i/>
        <sz val="11"/>
        <rFont val="Arial"/>
        <family val="2"/>
      </rPr>
      <t xml:space="preserve"> Should contract assets and lease liabilities be included in financial instrument disclosures?</t>
    </r>
    <r>
      <rPr>
        <sz val="11"/>
        <rFont val="Arial"/>
        <family val="2"/>
      </rPr>
      <t xml:space="preserve">
A= No as these are generally excluded from the scope of AASB 9 </t>
    </r>
    <r>
      <rPr>
        <i/>
        <sz val="11"/>
        <rFont val="Arial"/>
        <family val="2"/>
      </rPr>
      <t>Financial Instruments</t>
    </r>
    <r>
      <rPr>
        <sz val="11"/>
        <rFont val="Arial"/>
        <family val="2"/>
      </rPr>
      <t xml:space="preserve">. 
Refer to the Scope section of AASB 9 for details on:
</t>
    </r>
    <r>
      <rPr>
        <u/>
        <sz val="11"/>
        <rFont val="Arial"/>
        <family val="2"/>
      </rPr>
      <t xml:space="preserve">AASB 9 2.1 (b) AASB 16 </t>
    </r>
    <r>
      <rPr>
        <i/>
        <u/>
        <sz val="11"/>
        <rFont val="Arial"/>
        <family val="2"/>
      </rPr>
      <t>Leases:</t>
    </r>
    <r>
      <rPr>
        <sz val="11"/>
        <rFont val="Arial"/>
        <family val="2"/>
      </rPr>
      <t xml:space="preserve">
The scope of AASB 9 specifically excludes the rights and obligations under AASB 16 </t>
    </r>
    <r>
      <rPr>
        <i/>
        <sz val="11"/>
        <rFont val="Arial"/>
        <family val="2"/>
      </rPr>
      <t>Leases.</t>
    </r>
    <r>
      <rPr>
        <sz val="11"/>
        <rFont val="Arial"/>
        <family val="2"/>
      </rPr>
      <t xml:space="preserve"> There are however exceptions in regard of derecognition and impairment requirements for lease receivables of lessors and lease liability derecognition requirements of a lessee if extinguished, such as when the obligation specified in the contract is discharged or cancelled or expires.  Refer to the standard for   further clarification.
</t>
    </r>
    <r>
      <rPr>
        <u/>
        <sz val="11"/>
        <rFont val="Arial"/>
        <family val="2"/>
      </rPr>
      <t xml:space="preserve">AASB9 2.1 (j) AASB 15 </t>
    </r>
    <r>
      <rPr>
        <i/>
        <u/>
        <sz val="11"/>
        <rFont val="Arial"/>
        <family val="2"/>
      </rPr>
      <t>Revenue from Contracts with Customers</t>
    </r>
    <r>
      <rPr>
        <u/>
        <sz val="11"/>
        <rFont val="Arial"/>
        <family val="2"/>
      </rPr>
      <t>:</t>
    </r>
    <r>
      <rPr>
        <sz val="11"/>
        <rFont val="Arial"/>
        <family val="2"/>
      </rPr>
      <t xml:space="preserve">
The scope of AASB 9 specifically excludes the rights and obligations within AASB 15, except for those parts that AASB 15 specifies are to be accounted for in accordance with this Standard. Consequently neither contract assets or contract liabilities are presented in the Financial Instrument tables.
The exception in AASB 15 is the requirement that contract assets shall be assess for impairment in accordance with AASB 9. (AASB 15.107) This leads to the requirement to consider any expected credit loss (ECL) in accordance with AASB 9. (AASB 9 5.5.15)  
As a result AASB 7 </t>
    </r>
    <r>
      <rPr>
        <i/>
        <sz val="11"/>
        <rFont val="Arial"/>
        <family val="2"/>
      </rPr>
      <t>Financial Instruments: Disclosures</t>
    </r>
    <r>
      <rPr>
        <sz val="11"/>
        <rFont val="Arial"/>
        <family val="2"/>
      </rPr>
      <t xml:space="preserve">; para 35A; requires quantitative disclosures to be considered, as set out in paragraphs 35F-35N.  Note 4.6 Contract assets, includes the provision for Councils to disclose details relating to impairment and detail any loss assessment.  Where a Council does not expect any ECL and nothing is past due, this should be clearly stated.  Where there is an assessment that there is impairment, disclosures similar to those at Note 9.11(d) should be presented, including the movement in impairment and aging disclosures.  (Alternatively such disclosures could be combined with Note 9.11(d) ).
</t>
    </r>
  </si>
  <si>
    <t>Managing financial risk</t>
  </si>
  <si>
    <t>Interest rate risk refers to the risk that the value of a financial instrument or cash flows associated with the instrument will fluctuate due to changes in market interest rates. Interest rate risk arises from interest bearing financial assets and liabilities used. Non-derivative interest bearing assets are predominantly short term liquid assets. Council's interest rate liability risk arises primarily from long term loans and borrowings at fixed rates which exposes us to fair value interest rate risk.</t>
  </si>
  <si>
    <r>
      <t xml:space="preserve">Council's loan borrowings are sourced </t>
    </r>
    <r>
      <rPr>
        <sz val="10.5"/>
        <color rgb="FF0070C0"/>
        <rFont val="Arial Narrow"/>
        <family val="2"/>
      </rPr>
      <t>from major Australian banks by a tender process. Finance leases are sourced from major Australian financial institutions. Overdrafts are arranged with major Australian banks.</t>
    </r>
    <r>
      <rPr>
        <sz val="10.5"/>
        <rFont val="Arial Narrow"/>
        <family val="2"/>
      </rPr>
      <t xml:space="preserve"> We manage interest rate risk on our net debt portfolio by:</t>
    </r>
  </si>
  <si>
    <r>
      <t xml:space="preserve">Investment of surplus funds is made with approved financial institutions under the </t>
    </r>
    <r>
      <rPr>
        <i/>
        <sz val="10.5"/>
        <rFont val="Arial Narrow"/>
        <family val="2"/>
      </rPr>
      <t>Local Government Act 1993</t>
    </r>
    <r>
      <rPr>
        <sz val="10.5"/>
        <rFont val="Arial Narrow"/>
        <family val="2"/>
      </rPr>
      <t>. Council manage interest rate risk by adopting an investment policy that ensures:</t>
    </r>
  </si>
  <si>
    <t xml:space="preserve">(b) Credit risk </t>
  </si>
  <si>
    <t>This line relates to Land fill restoration - remove if not required</t>
  </si>
  <si>
    <r>
      <t xml:space="preserve">The introduction of AASB 2016-4 in amendments to AASB 136 </t>
    </r>
    <r>
      <rPr>
        <i/>
        <sz val="11"/>
        <color rgb="FF0000FF"/>
        <rFont val="Arial"/>
        <family val="2"/>
      </rPr>
      <t xml:space="preserve">Impairment of Assets, </t>
    </r>
    <r>
      <rPr>
        <sz val="11"/>
        <color rgb="FF0000FF"/>
        <rFont val="Arial"/>
        <family val="2"/>
      </rPr>
      <t>saw the removal of references to depreciated replacement cost as a measure of value in use for not-for-profit entities.
The update to the wording here removes the outdated terminology reference to Depreciated Replacement Cost and aligns with Council's asset policy notes within this financial report.
The fair value or carrying amount, effectively represents the written down value of the Gross CRC.
Although the</t>
    </r>
    <r>
      <rPr>
        <i/>
        <sz val="11"/>
        <color rgb="FF0000FF"/>
        <rFont val="Arial"/>
        <family val="2"/>
      </rPr>
      <t xml:space="preserve"> Local Government (Management Indicators) Order 2014</t>
    </r>
    <r>
      <rPr>
        <sz val="11"/>
        <color rgb="FF0000FF"/>
        <rFont val="Arial"/>
        <family val="2"/>
      </rPr>
      <t xml:space="preserve"> refers to DRC divided by CRC, the changes here update to wording to reflect current terminology requirements that have transpired since it was issued.</t>
    </r>
  </si>
  <si>
    <r>
      <t xml:space="preserve">Unless otherwise stated, all </t>
    </r>
    <r>
      <rPr>
        <sz val="10"/>
        <color rgb="FFFF0000"/>
        <rFont val="Arial Narrow"/>
        <family val="2"/>
      </rPr>
      <t>material</t>
    </r>
    <r>
      <rPr>
        <sz val="10"/>
        <rFont val="Arial Narrow"/>
        <family val="2"/>
      </rPr>
      <t xml:space="preserve"> accounting </t>
    </r>
    <r>
      <rPr>
        <sz val="10"/>
        <color rgb="FFFF0000"/>
        <rFont val="Arial Narrow"/>
        <family val="2"/>
      </rPr>
      <t>policy information is</t>
    </r>
    <r>
      <rPr>
        <sz val="10"/>
        <rFont val="Arial Narrow"/>
        <family val="2"/>
      </rPr>
      <t xml:space="preserve"> consistent with those applied in the prior year.  Where appropriate, comparative figures have been amended to accord with current presentation, and disclosure has been made of any material changes to comparatives. </t>
    </r>
  </si>
  <si>
    <r>
      <t xml:space="preserve">As per AASB101, an entity shall disclose </t>
    </r>
    <r>
      <rPr>
        <b/>
        <sz val="12"/>
        <rFont val="Arial Narrow"/>
        <family val="2"/>
      </rPr>
      <t>material</t>
    </r>
    <r>
      <rPr>
        <sz val="10"/>
        <rFont val="Arial Narrow"/>
        <family val="2"/>
      </rPr>
      <t xml:space="preserve"> accounting policy information. Accounting policy information is material if, when considered together with other information included in an entity’s financial statements, it can reasonably be expected to influence decisions that the primary users of general purpose financial statements make on the basis of those financial statement. For further details, refer the General Comments section at the bottom of this page regarding AASB 2021-2.</t>
    </r>
  </si>
  <si>
    <t>User fees have been updated to recognise if the revenue is recognised at a point in time or over time.  The change is to the policy note and by way of a reconciliation below each indicating the split between at a point in time or over time.
This update is to reflect the requirement in AASB15.114 to depict the nature and timing of transfer of revenue categories in accordance with guidance in paragraph B89(f).</t>
  </si>
  <si>
    <t>Wording Updated to note that Statutory Income falls under AASB1058 and is recognised as the statutory charge / taxable event is applied.</t>
  </si>
  <si>
    <t>Other Income also updated to reflect the requirement in AASB15.114 to include the nature and timing as at a point in time or over time.</t>
  </si>
  <si>
    <t>Wording reflects impairment process detailed below.</t>
  </si>
  <si>
    <t>Refinement to Impairment loss column, to include items expensed as well (if needed). If neither items are required, the column can be removed from the table. The explanation note below the table has also been expanded.</t>
  </si>
  <si>
    <t>Adjustments made to Right of Use assets note table.</t>
  </si>
  <si>
    <r>
      <rPr>
        <b/>
        <sz val="10.5"/>
        <color rgb="FFFF0000"/>
        <rFont val="Arial Narrow"/>
        <family val="2"/>
      </rPr>
      <t>(a)</t>
    </r>
    <r>
      <rPr>
        <b/>
        <sz val="10.5"/>
        <rFont val="Arial Narrow"/>
        <family val="2"/>
      </rPr>
      <t xml:space="preserve"> Employee benefits</t>
    </r>
  </si>
  <si>
    <t>(a) - include if you have other material provisions below as. E.g. (b) Landfill Restoration</t>
  </si>
  <si>
    <t>Include if you have a page break before</t>
  </si>
  <si>
    <r>
      <t xml:space="preserve">Specify other items if required </t>
    </r>
    <r>
      <rPr>
        <b/>
        <i/>
        <sz val="8"/>
        <color rgb="FF0000FF"/>
        <rFont val="Arial Narrow"/>
        <family val="2"/>
      </rPr>
      <t>(Trust funds &amp; deposits)?</t>
    </r>
  </si>
  <si>
    <t>Insert as required for page breaks</t>
  </si>
  <si>
    <r>
      <t xml:space="preserve">Gain/loss recognised in other comprehensive income-  [insert line item recognised. </t>
    </r>
    <r>
      <rPr>
        <sz val="10"/>
        <color rgb="FF0000FF"/>
        <rFont val="Arial Narrow"/>
        <family val="2"/>
      </rPr>
      <t>E.g. Fair value adjustment on equity investment assets (TasWater)</t>
    </r>
    <r>
      <rPr>
        <sz val="10.5"/>
        <color rgb="FF0000FF"/>
        <rFont val="Arial Narrow"/>
        <family val="2"/>
      </rPr>
      <t xml:space="preserve">] </t>
    </r>
  </si>
  <si>
    <r>
      <t xml:space="preserve">Adjust page breaks and Headings </t>
    </r>
    <r>
      <rPr>
        <b/>
        <i/>
        <sz val="11.5"/>
        <color rgb="FF0000FF"/>
        <rFont val="Arial Narrow"/>
        <family val="2"/>
      </rPr>
      <t xml:space="preserve">(Continued..) </t>
    </r>
    <r>
      <rPr>
        <b/>
        <sz val="11.5"/>
        <color rgb="FF0000FF"/>
        <rFont val="Arial Narrow"/>
        <family val="2"/>
      </rPr>
      <t>as required.</t>
    </r>
  </si>
  <si>
    <t>`</t>
  </si>
  <si>
    <r>
      <t xml:space="preserve">Changes to AASB 101 (as a result of AASB 2021-2 </t>
    </r>
    <r>
      <rPr>
        <sz val="11"/>
        <rFont val="Arial"/>
        <family val="2"/>
      </rPr>
      <t>– Amendments to Disclosure of Accounting Policies )</t>
    </r>
  </si>
  <si>
    <r>
      <t xml:space="preserve">The changes made a result of this standard means that the disclosure of accounting policies is based upon </t>
    </r>
    <r>
      <rPr>
        <b/>
        <sz val="11"/>
        <rFont val="Arial"/>
        <family val="2"/>
      </rPr>
      <t xml:space="preserve">material </t>
    </r>
    <r>
      <rPr>
        <sz val="11"/>
        <rFont val="Arial"/>
        <family val="2"/>
      </rPr>
      <t xml:space="preserve">accounting policies and not </t>
    </r>
    <r>
      <rPr>
        <b/>
        <sz val="11"/>
        <rFont val="Arial"/>
        <family val="2"/>
      </rPr>
      <t>significant</t>
    </r>
    <r>
      <rPr>
        <sz val="11"/>
        <rFont val="Arial"/>
        <family val="2"/>
      </rPr>
      <t xml:space="preserve"> accounting policies.
Things to consider if an accounting policy is considered material or not include:</t>
    </r>
  </si>
  <si>
    <t xml:space="preserve"> - 
 - 
 - 
 -
 -  </t>
  </si>
  <si>
    <t>A change in accounting policy during the reporting period and the change resulted in a material change to the information in the financial statements;
Council chose to adopt an accounting policy from one or more options permitted by Australian Accounting Standards
An accounting policy was developed in accordance with AASB 108 in the absence of an Australian Accounting Standard that specifically applies;
An accounting policy relates to an area for which Council is required to make significant judgements or assumptions in applying an accounting policy, and discloses those judgements or assumptions in accordance with paragraphs 122 and 125 of AASB 101; or
The accounting required is complex and users of Council’s financial statements would otherwise not understand those material transactions, other events or conditions unless explained through disclosure.</t>
  </si>
  <si>
    <r>
      <rPr>
        <b/>
        <sz val="11"/>
        <color rgb="FFFF0000"/>
        <rFont val="Arial Narrow"/>
        <family val="2"/>
      </rPr>
      <t xml:space="preserve">Where appropriate page breaks and headers will need adjusting depending upon the length of content needed by individual councils. </t>
    </r>
    <r>
      <rPr>
        <sz val="11"/>
        <color rgb="FFFF0000"/>
        <rFont val="Arial Narrow"/>
        <family val="2"/>
      </rPr>
      <t xml:space="preserve"> </t>
    </r>
    <r>
      <rPr>
        <b/>
        <sz val="11"/>
        <color rgb="FFFF0000"/>
        <rFont val="Arial Narrow"/>
        <family val="2"/>
      </rPr>
      <t>This relates especially to the four main statements - removing irrelevant items may fit them back onto one page, if not you could consider different printing options (Fit to one page</t>
    </r>
    <r>
      <rPr>
        <sz val="11"/>
        <color rgb="FFFF0000"/>
        <rFont val="Arial Narrow"/>
        <family val="2"/>
      </rPr>
      <t xml:space="preserve">. </t>
    </r>
    <r>
      <rPr>
        <b/>
        <sz val="11"/>
        <color rgb="FFFF0000"/>
        <rFont val="Arial Narrow"/>
        <family val="2"/>
      </rPr>
      <t>Councils may also wish to use a different font styles or sizes.</t>
    </r>
    <r>
      <rPr>
        <sz val="11"/>
        <color rgb="FFFF0000"/>
        <rFont val="Arial Narrow"/>
        <family val="2"/>
      </rPr>
      <t xml:space="preserve">  Should councils wish to retain their existing content, they should adjust for changes to the notes to the financial statements as highlighted in yellow.  The more significant changes are noted below.</t>
    </r>
  </si>
  <si>
    <r>
      <rPr>
        <sz val="11"/>
        <rFont val="Arial Narrow"/>
        <family val="2"/>
      </rPr>
      <t>Comments and prompts are shaded or</t>
    </r>
    <r>
      <rPr>
        <sz val="11"/>
        <color indexed="12"/>
        <rFont val="Arial Narrow"/>
        <family val="2"/>
      </rPr>
      <t xml:space="preserve"> </t>
    </r>
    <r>
      <rPr>
        <sz val="11"/>
        <color rgb="FF0000FF"/>
        <rFont val="Arial Narrow"/>
        <family val="2"/>
      </rPr>
      <t>noted in blue</t>
    </r>
    <r>
      <rPr>
        <sz val="11"/>
        <color indexed="12"/>
        <rFont val="Arial Narrow"/>
        <family val="2"/>
      </rPr>
      <t xml:space="preserve"> </t>
    </r>
    <r>
      <rPr>
        <sz val="11"/>
        <rFont val="Arial Narrow"/>
        <family val="2"/>
      </rPr>
      <t>and require tailoring to suit Council or deletion.</t>
    </r>
  </si>
  <si>
    <r>
      <t xml:space="preserve">Boxes with guidance comments </t>
    </r>
    <r>
      <rPr>
        <sz val="11"/>
        <color rgb="FF0000FF"/>
        <rFont val="Arial Narrow"/>
        <family val="2"/>
      </rPr>
      <t xml:space="preserve">in blue </t>
    </r>
    <r>
      <rPr>
        <sz val="11"/>
        <rFont val="Arial Narrow"/>
        <family val="2"/>
      </rPr>
      <t>are provided to assist preparers.  These rows need to be deleted once considered.</t>
    </r>
  </si>
  <si>
    <t>These are normally the "Table of Contents" and the"'Cover".</t>
  </si>
  <si>
    <r>
      <t xml:space="preserve">In both years the Commonwealth has made early payment of the first two quarterly instalments of untied Financial Assistance Grants for the following year. The early receipt of instalments resulted in Commonwealth Government Financial Assistance Grants being above that originally budgeted in 2023-24 by </t>
    </r>
    <r>
      <rPr>
        <sz val="10.5"/>
        <color rgb="FF0070C0"/>
        <rFont val="Arial Narrow"/>
        <family val="2"/>
      </rPr>
      <t>$xxxx,</t>
    </r>
    <r>
      <rPr>
        <sz val="10.5"/>
        <rFont val="Arial Narrow"/>
        <family val="2"/>
      </rPr>
      <t xml:space="preserve"> (2022-23, </t>
    </r>
    <r>
      <rPr>
        <sz val="10.5"/>
        <color rgb="FF0070C0"/>
        <rFont val="Arial Narrow"/>
        <family val="2"/>
      </rPr>
      <t>$xxxx).</t>
    </r>
    <r>
      <rPr>
        <sz val="10.5"/>
        <rFont val="Arial Narrow"/>
        <family val="2"/>
      </rPr>
      <t xml:space="preserve"> This has impacted the Statement of Comprehensive Income resulting in the Net result for the year being higher by the same amount. Financial Assistance Grants are general grants and do not have </t>
    </r>
    <r>
      <rPr>
        <sz val="10.5"/>
        <color rgb="FFFF0000"/>
        <rFont val="Arial Narrow"/>
        <family val="2"/>
      </rPr>
      <t>sufficiently</t>
    </r>
    <r>
      <rPr>
        <sz val="10.5"/>
        <rFont val="Arial Narrow"/>
        <family val="2"/>
      </rPr>
      <t xml:space="preserve"> specific </t>
    </r>
    <r>
      <rPr>
        <sz val="10.5"/>
        <color rgb="FFFF0000"/>
        <rFont val="Arial Narrow"/>
        <family val="2"/>
      </rPr>
      <t>performance</t>
    </r>
    <r>
      <rPr>
        <sz val="10.5"/>
        <rFont val="Arial Narrow"/>
        <family val="2"/>
      </rPr>
      <t xml:space="preserve"> obligations. As a result, they are </t>
    </r>
    <r>
      <rPr>
        <sz val="10.5"/>
        <color rgb="FFFF0000"/>
        <rFont val="Arial Narrow"/>
        <family val="2"/>
      </rPr>
      <t>recognised</t>
    </r>
    <r>
      <rPr>
        <sz val="10.5"/>
        <rFont val="Arial Narrow"/>
        <family val="2"/>
      </rPr>
      <t xml:space="preserve"> as income when received.</t>
    </r>
  </si>
  <si>
    <t>&lt;&lt;Insert a narrative providing a short summary of the nature of each restriction or commitment to explain all items listed&gt;&gt;</t>
  </si>
  <si>
    <r>
      <t xml:space="preserve">Council undertakes a formal revaluation of land, buildings, and infrastructure assets on a regular basis  to ensure valuations represent fair value.  Valuations are performed either by experienced Council officers or independent experts. Between such valuations, Council considers, and when </t>
    </r>
    <r>
      <rPr>
        <sz val="10.5"/>
        <color rgb="FFFF0000"/>
        <rFont val="Arial Narrow"/>
        <family val="2"/>
      </rPr>
      <t>necessary</t>
    </r>
    <r>
      <rPr>
        <sz val="10.5"/>
        <rFont val="Arial Narrow"/>
        <family val="2"/>
      </rPr>
      <t xml:space="preserve">, applies indexation to assets to ensure the carrying values continue to represent fair values. </t>
    </r>
  </si>
  <si>
    <t>The (General Manager/Chief Executive Officer) has overall responsibility for the establishment and oversight of Council’s risk management framework. Risk management policies are established to identify and analyse risks faced by Council, to set appropriate risk limits and controls, and to monitor risks and adherence to limits.</t>
  </si>
  <si>
    <t>Losses from unscheduled non-reoccuring disposal of non-current non-financial assets</t>
  </si>
  <si>
    <t>As noted above, formatting and page set-up changes have been made to the statements and notes, to ensure they are printed in a clearer and more readable format. Page breaks and headings from one page to the next will need adjusting depending upon content.  Councils are free to adjust formatting where they see fit.
Changes noted below are in addition to the formatting/view of the Financial Statements.</t>
  </si>
  <si>
    <t>The policy note for "Statutory fees and fines" has been updated to recognised that income from these revenue items is recognised at a point in time. (Should your Council's situation be different, then the note will need to be corrected and a reconciliation of the recognition type; either at a point in time or over time; will need to be added below the table. Such as in the case for User fees below)</t>
  </si>
  <si>
    <t>Removed requirement for weighted average increase rates, discount rates, settlement days and employee numbers.</t>
  </si>
  <si>
    <r>
      <rPr>
        <b/>
        <sz val="10"/>
        <color rgb="FFFF0000"/>
        <rFont val="Arial Narrow"/>
        <family val="2"/>
      </rPr>
      <t>NOT NEW - but important to reinforce</t>
    </r>
    <r>
      <rPr>
        <sz val="10"/>
        <rFont val="Arial Narrow"/>
        <family val="2"/>
      </rPr>
      <t xml:space="preserve"> - For all significant Asset classes remember to provide last valuation date, valuer details and council's approach for ensuring valuations remain current, such as inclusion of any indexation since the last full valuation and to note when the next full valuation is due. (Unless you just had one of course.)</t>
    </r>
  </si>
  <si>
    <t>Short-term incentive payments removed (not relevant) - similarly, the accompanying comment has been removed from the following page/note</t>
  </si>
  <si>
    <r>
      <t xml:space="preserve">The statement submission deadline of the 14th August falls on a </t>
    </r>
    <r>
      <rPr>
        <sz val="10.5"/>
        <color rgb="FFFF0000"/>
        <rFont val="Arial Narrow"/>
        <family val="2"/>
      </rPr>
      <t>Wednesday</t>
    </r>
    <r>
      <rPr>
        <sz val="10.5"/>
        <color rgb="FF0000FF"/>
        <rFont val="Arial Narrow"/>
        <family val="2"/>
      </rPr>
      <t xml:space="preserve"> in 2024</t>
    </r>
    <r>
      <rPr>
        <sz val="10.5"/>
        <color rgb="FFFF0000"/>
        <rFont val="Arial Narrow"/>
        <family val="2"/>
      </rPr>
      <t>.</t>
    </r>
    <r>
      <rPr>
        <sz val="10.5"/>
        <color rgb="FF0000FF"/>
        <rFont val="Arial Narrow"/>
        <family val="2"/>
      </rPr>
      <t xml:space="preserve">
Electronic submission can be made on or before 
</t>
    </r>
    <r>
      <rPr>
        <b/>
        <sz val="10.5"/>
        <color rgb="FFFF0000"/>
        <rFont val="Arial Narrow"/>
        <family val="2"/>
      </rPr>
      <t xml:space="preserve">Wednesday 14th  August </t>
    </r>
    <r>
      <rPr>
        <sz val="10.5"/>
        <color rgb="FF0000FF"/>
        <rFont val="Arial Narrow"/>
        <family val="2"/>
      </rPr>
      <t xml:space="preserve">to </t>
    </r>
    <r>
      <rPr>
        <u/>
        <sz val="10.5"/>
        <color rgb="FF0000FF"/>
        <rFont val="Arial Narrow"/>
        <family val="2"/>
      </rPr>
      <t xml:space="preserve">admin@audit.tas.gov.au </t>
    </r>
  </si>
  <si>
    <r>
      <t xml:space="preserve">Under AASB 123 Aus 8.1 </t>
    </r>
    <r>
      <rPr>
        <i/>
        <sz val="11"/>
        <color rgb="FF0000FF"/>
        <rFont val="Arial Narrow"/>
        <family val="2"/>
      </rPr>
      <t>"A not-for-profit public sector entity may elect to recognise borrowing costs as an expense in the period in which they are incurred regardless of how the borrowings are applied."</t>
    </r>
  </si>
  <si>
    <t>Councils are required to disclose the Option adopted</t>
  </si>
  <si>
    <r>
      <rPr>
        <b/>
        <u/>
        <sz val="11"/>
        <color rgb="FF0000FF"/>
        <rFont val="Arial Narrow"/>
        <family val="2"/>
      </rPr>
      <t>Most councils adopt this option</t>
    </r>
    <r>
      <rPr>
        <sz val="11"/>
        <color rgb="FF0000FF"/>
        <rFont val="Arial Narrow"/>
        <family val="2"/>
      </rPr>
      <t xml:space="preserve">, like other in the NFP's Public Sector </t>
    </r>
  </si>
  <si>
    <t>Documentation will be required in support of this option.</t>
  </si>
  <si>
    <t>Updated following receipt of recent valuation data circulated by the Office of the Vauluer-General prior to year end to enable recognition of revaluation at 30 June 2024</t>
  </si>
  <si>
    <r>
      <rPr>
        <b/>
        <sz val="10"/>
        <rFont val="Arial Narrow"/>
        <family val="2"/>
      </rPr>
      <t xml:space="preserve">Land Under Roads </t>
    </r>
    <r>
      <rPr>
        <sz val="10"/>
        <rFont val="Arial Narrow"/>
        <family val="2"/>
      </rPr>
      <t>- Updated following receipt of recent valuation data circulated by the Office of the Vauluer-General prior to year end to enable recognition of revaluation at 30 June 2024.</t>
    </r>
  </si>
  <si>
    <t>Deloitte Consulting Pty Ltd undertook the last actuarial review of the Fund at 30 June 2023.  The review disclosed that at that time the net market value of assets available for funding member benefits was $48,442,000, the value of vested benefits was $39,789,000, the surplus over vested benefits was $8,653,000, the value of total accrued benefits was $39,479,000, and the number of members was 77.  These amounts relate to all members of the Fund at the date of valuation and no asset or liability is recorded in the Spirit Super’s financial statements for Council employees.</t>
  </si>
  <si>
    <t xml:space="preserve">Net Investment Return  4.50% p.a. </t>
  </si>
  <si>
    <t>Salary Inflation   3.00% p.a.</t>
  </si>
  <si>
    <t>The value of assets of the Fund was adequate to meet the liabilities of the Fund in respect of vested benefits as at 30 June 2023.</t>
  </si>
  <si>
    <t>The value of assets of the Fund was adequate to meet the value of the liabilities of the Fund in respect of accrued benefits as at 30 June 2023.</t>
  </si>
  <si>
    <t>The Actuary will continue to undertake a brief review of the financial position of the Fund at the end of each financial year to confirm that the contribution rates remain appropriate.  The next full triennial actuarial review of the Fund will have an effective date of 30 June 2026 and is expected to be completed late in 2026.</t>
  </si>
  <si>
    <t>The 2023 actuarial review used the “aggregate” funding method. This is a standard actuarial funding method. The results from this method were tested by projecting future fund assets and liabilities for a range of future assumed investment returns. The funding method used is consistent with the method used at the previous actuarial review in 2020.</t>
  </si>
  <si>
    <t>In terms of Rule 15.2 of the Spirit Super Trust Deed (Trust Deed), there is a risk that employers within the Fund may incur an additional liability when an Employer ceases to participate in the Fund at a time when the assets of the Fund are less than members’ vested benefits. Each member of the Fund who is an employee of the Employer who is ceasing to Participate is required to be provided with a benefit at least equal to their vested benefit. However, there is no provision in the Trust Deed requiring an employer to make contributions other than its regular contributions up to the date of cessation of contributions.</t>
  </si>
  <si>
    <t xml:space="preserve">The Trust Deed does not contemplate the Fund withdrawing from Spirit Super. </t>
  </si>
  <si>
    <t>As reported on the first page of this note, Assets exceeded accrued benefits as at the date of the last actuarial review, 30 June 2023. Favourable investment returns, since that date, has seen further improvement in the financial position of the Fund. The financial position of the Fund will be fully investigated at the actuarial review as at 30 June 2026.</t>
  </si>
  <si>
    <t xml:space="preserve">An analysis of the assets and vested benefits of sub-funds participating in the Scheme, prepared by Deloitte Consulting Pty Ltd as at 30 June 2023, showed that the Fund had assets of $48.44 million and members’ Vested Benefits were $39.79 million. These amounts represented 0.17% and 0.15% respectively of the corresponding total amounts for Spirit Super. </t>
  </si>
  <si>
    <t>As at 30 June 2023 the Fund had 77 members and the total employer contributions and member contributions for the year ending 30 June 2023 were $738,101 and $190,798 respectively.</t>
  </si>
  <si>
    <r>
      <t xml:space="preserve">Council makes superannuation contributions for a number of its employees to the Quadrant Defined Benefits Fund (the Fund), a sub-fund of Spirit Super.  The Fund has been classified as a multi-employer sponsored plan.  As the Fund’s assets and liabilities are pooled and are not allocated by employer, the Actuary is unable to allocate benefit liabilities, assets and costs between employers.  As provided under paragraph 34 of AASB 119 </t>
    </r>
    <r>
      <rPr>
        <i/>
        <sz val="10.5"/>
        <rFont val="Arial Narrow"/>
        <family val="2"/>
      </rPr>
      <t>Employee Benefits</t>
    </r>
    <r>
      <rPr>
        <sz val="10.5"/>
        <rFont val="Arial Narrow"/>
        <family val="2"/>
      </rPr>
      <t>, Council does not use defined benefit accounting for these contributions.</t>
    </r>
  </si>
  <si>
    <r>
      <t>For the year ended 30 June 2024 Council contributed</t>
    </r>
    <r>
      <rPr>
        <sz val="10.5"/>
        <color rgb="FF0000FF"/>
        <rFont val="Arial Narrow"/>
        <family val="2"/>
      </rPr>
      <t xml:space="preserve"> X.X% (2023 X.X%) </t>
    </r>
    <r>
      <rPr>
        <sz val="10.5"/>
        <rFont val="Arial Narrow"/>
        <family val="2"/>
      </rPr>
      <t>of employees’ gross income to the Fund.  Assets accumulate in the fund to meet member benefits as they accrue, and if assets within the fund are insufficient to satisfy benefits payable,  Council is required to meet its share of the deficiency.</t>
    </r>
  </si>
  <si>
    <t xml:space="preserve">Given the strong financial position of the Fund, the Actuary recommended that Council continue their contribution holiday and contribute 0% of salaries towards the defined benefit arrangements in the Fund from 1 July 2024 until 1 July 2027. This contribution rate is subject to normal review processes which include reviewing the contribution rate if needed to respond to extreme movements in financial markets. In addition, employers pay contributions towards defined benefit members’ accumulation accounts where required by agreements. </t>
  </si>
  <si>
    <t>Council also contributes to other accumulation superannuation schemes on behalf of a number of employees; however, Council has no ongoing responsibility to make good any deficiencies that may occur in those schemes.</t>
  </si>
  <si>
    <t>Under the aggregate funding method of financing the benefits, the stability of Councils’ contributions over time depends on how closely the Fund’s actual experience matches the expected experience. If the actual experience differs from that expected, Councils’ contribution rate may need to be adjusted accordingly to ensure the Fund remains on course towards financing members’ benefits.</t>
  </si>
  <si>
    <r>
      <rPr>
        <b/>
        <sz val="10"/>
        <rFont val="Arial Narrow"/>
        <family val="2"/>
      </rPr>
      <t>Superannuation</t>
    </r>
    <r>
      <rPr>
        <sz val="10"/>
        <rFont val="Arial Narrow"/>
        <family val="2"/>
      </rPr>
      <t xml:space="preserve"> - Quadrant Defined Benefit Fund information received from Spirit Super and note updated. The Fund is still in surplus and has fewer members. The next triennial review is due 30 June 2026.  Councils with no employees in the Fund need not include this note.</t>
    </r>
  </si>
  <si>
    <r>
      <t>The value of the Land Under Road network at 30 June 2024 is based on valuation data determined by the Valuer-General. The valuation approach uses adjusted land values and areas for all properties within the municipality depending upon its classification and then applying a discount appropriate to the respective classification. This adjustment is an unobservable input in the valuation.  The market value of land varies significantly depending on the location of the land and the current market conditions.  Currently land values range between $</t>
    </r>
    <r>
      <rPr>
        <sz val="10.5"/>
        <color rgb="FFFF0000"/>
        <rFont val="Arial Narrow"/>
        <family val="2"/>
      </rPr>
      <t>XX</t>
    </r>
    <r>
      <rPr>
        <sz val="10.5"/>
        <rFont val="Arial Narrow"/>
        <family val="2"/>
      </rPr>
      <t xml:space="preserve"> and $</t>
    </r>
    <r>
      <rPr>
        <sz val="10.5"/>
        <color rgb="FFFF0000"/>
        <rFont val="Arial Narrow"/>
        <family val="2"/>
      </rPr>
      <t>XX</t>
    </r>
    <r>
      <rPr>
        <sz val="10.5"/>
        <rFont val="Arial Narrow"/>
        <family val="2"/>
      </rPr>
      <t xml:space="preserve"> per square metre.</t>
    </r>
  </si>
  <si>
    <t>Only required with second option below</t>
  </si>
  <si>
    <r>
      <rPr>
        <b/>
        <sz val="10"/>
        <rFont val="Arial Narrow"/>
        <family val="2"/>
      </rPr>
      <t xml:space="preserve">Finance Costs </t>
    </r>
    <r>
      <rPr>
        <sz val="10"/>
        <rFont val="Arial Narrow"/>
        <family val="2"/>
      </rPr>
      <t xml:space="preserve">- Policy note guidance added for the Australian specific </t>
    </r>
    <r>
      <rPr>
        <u/>
        <sz val="10"/>
        <rFont val="Arial Narrow"/>
        <family val="2"/>
      </rPr>
      <t>option</t>
    </r>
    <r>
      <rPr>
        <sz val="10"/>
        <rFont val="Arial Narrow"/>
        <family val="2"/>
      </rPr>
      <t xml:space="preserve"> available in AASB 123 </t>
    </r>
    <r>
      <rPr>
        <i/>
        <sz val="10"/>
        <rFont val="Arial Narrow"/>
        <family val="2"/>
      </rPr>
      <t>Borrowings</t>
    </r>
    <r>
      <rPr>
        <sz val="10"/>
        <rFont val="Arial Narrow"/>
        <family val="2"/>
      </rPr>
      <t xml:space="preserve"> para AUS 8.1, whereby all councils as Not-for-Profit Public Sector entities can choose to expense borrowing costs incurred, rather than capitalise them, regardless of how the borrowings are applied. This is the easiest option and most NFP PS entities adopt and disclose this approach.  So it's one </t>
    </r>
    <r>
      <rPr>
        <u/>
        <sz val="10"/>
        <rFont val="Arial Narrow"/>
        <family val="2"/>
      </rPr>
      <t>or</t>
    </r>
    <r>
      <rPr>
        <sz val="10"/>
        <rFont val="Arial Narrow"/>
        <family val="2"/>
      </rPr>
      <t xml:space="preserve"> the other, but not both!</t>
    </r>
  </si>
  <si>
    <r>
      <t xml:space="preserve">Finance costs are recognised as an expense in the period in which they are incurred, except where they are capitalised as part of a qualifying asset constructed by Council. Where specific borrowings are obtained for the purpose of specific asset acquisition, the weighted average interest rate applicable to borrowings at balance date, excluding borrowings associated with superannuation, is used to determine the borrowing costs to be capitalised. </t>
    </r>
    <r>
      <rPr>
        <sz val="10.5"/>
        <color rgb="FF0000FF"/>
        <rFont val="Arial Narrow"/>
        <family val="2"/>
      </rPr>
      <t xml:space="preserve">Borrowing costs capitalised during the period totalled $XXX, ($XXX). </t>
    </r>
    <r>
      <rPr>
        <sz val="10.5"/>
        <color rgb="FFFF0000"/>
        <rFont val="Arial Narrow"/>
        <family val="2"/>
      </rPr>
      <t>&lt;OR&gt;</t>
    </r>
    <r>
      <rPr>
        <sz val="10.5"/>
        <color rgb="FF0000FF"/>
        <rFont val="Arial Narrow"/>
        <family val="2"/>
      </rPr>
      <t xml:space="preserve"> No borrowing costs were capitalised during the period, ($XXX).</t>
    </r>
  </si>
  <si>
    <r>
      <rPr>
        <u/>
        <sz val="11"/>
        <rFont val="Arial"/>
        <family val="2"/>
      </rPr>
      <t>Changes from the prior year are highlighted in yellow</t>
    </r>
    <r>
      <rPr>
        <sz val="11"/>
        <rFont val="Arial"/>
        <family val="2"/>
      </rPr>
      <t xml:space="preserve"> down the side of the page and in the </t>
    </r>
    <r>
      <rPr>
        <sz val="11"/>
        <color rgb="FFFF0000"/>
        <rFont val="Arial"/>
        <family val="2"/>
      </rPr>
      <t>text</t>
    </r>
    <r>
      <rPr>
        <sz val="11"/>
        <rFont val="Arial"/>
        <family val="2"/>
      </rPr>
      <t xml:space="preserve"> that has been updated. This includes minor edits such as typo corrections that may not be noted in the following changes. (Changes highlighted on this sheet represent changes from the previous draft.)</t>
    </r>
  </si>
  <si>
    <t>30,31</t>
  </si>
  <si>
    <r>
      <t xml:space="preserve">Based on the assumptions used, and assuming the Employer contributes at the levels described below, the value of the assets is expected to continue to be adequate to meet the value of the liabilities of the Fund in respect of vested benefits at all times during the period up to 30 June </t>
    </r>
    <r>
      <rPr>
        <sz val="10.5"/>
        <color rgb="FFFF0000"/>
        <rFont val="Arial Narrow"/>
        <family val="2"/>
      </rPr>
      <t>2028</t>
    </r>
    <r>
      <rPr>
        <sz val="10.5"/>
        <color theme="1"/>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</si>
</sst>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1" formatCode="_-* #,##0_-;\-* #,##0_-;_-* &quot;-&quot;_-;_-@_-"/>
    <numFmt numFmtId="44" formatCode="_-&quot;$&quot;* #,##0.00_-;\-&quot;$&quot;* #,##0.00_-;_-&quot;$&quot;* &quot;-&quot;??_-;_-@_-"/>
    <numFmt numFmtId="43" formatCode="_-* #,##0.00_-;\-* #,##0.00_-;_-* &quot;-&quot;??_-;_-@_-"/>
    <numFmt numFmtId="164" formatCode="_(* #,##0_);_(* \(#,##0\);_(* &quot;-&quot;??_);_(@_)"/>
    <numFmt numFmtId="165" formatCode="_-* #,##0_-;\-* #,##0_-;_-* &quot;-&quot;??_-;_-@_-"/>
    <numFmt numFmtId="166" formatCode="#,##0;\(#,##0\)"/>
    <numFmt numFmtId="167" formatCode="_(* #,##0.00_);_(* \(#,##0.00\);_(* &quot;-&quot;??_);_(@_)"/>
    <numFmt numFmtId="168" formatCode="#,##0\ [$€-1];[Red]\-#,##0\ [$€-1]"/>
    <numFmt numFmtId="169" formatCode="&quot;$&quot;#,##0"/>
    <numFmt numFmtId="170" formatCode="0.0"/>
    <numFmt numFmtId="171" formatCode="#,##0;\(#,##0\);&quot;-&quot;"/>
  </numFmts>
  <fonts count="186" x14ac:knownFonts="1">
    <font>
      <sz val="11"/>
      <name val="Arial"/>
    </font>
    <font>
      <sz val="11"/>
      <name val="Arial"/>
      <family val="2"/>
    </font>
    <font>
      <u/>
      <sz val="11"/>
      <color indexed="12"/>
      <name val="Arial"/>
      <family val="2"/>
    </font>
    <font>
      <sz val="11"/>
      <name val="Arial Narrow"/>
      <family val="2"/>
    </font>
    <font>
      <b/>
      <sz val="11"/>
      <name val="Arial Narrow"/>
      <family val="2"/>
    </font>
    <font>
      <sz val="11.5"/>
      <name val="Arial Narrow"/>
      <family val="2"/>
    </font>
    <font>
      <b/>
      <sz val="11.5"/>
      <name val="Arial Narrow"/>
      <family val="2"/>
    </font>
    <font>
      <sz val="10"/>
      <name val="Arial Narrow"/>
      <family val="2"/>
    </font>
    <font>
      <b/>
      <sz val="16"/>
      <name val="Arial Narrow"/>
      <family val="2"/>
    </font>
    <font>
      <b/>
      <i/>
      <sz val="8"/>
      <name val="Arial Narrow"/>
      <family val="2"/>
    </font>
    <font>
      <i/>
      <sz val="8"/>
      <name val="Arial Narrow"/>
      <family val="2"/>
    </font>
    <font>
      <i/>
      <sz val="11"/>
      <name val="Arial Narrow"/>
      <family val="2"/>
    </font>
    <font>
      <sz val="11.5"/>
      <color indexed="8"/>
      <name val="Arial Narrow"/>
      <family val="2"/>
    </font>
    <font>
      <i/>
      <sz val="11.5"/>
      <name val="Arial Narrow"/>
      <family val="2"/>
    </font>
    <font>
      <b/>
      <i/>
      <sz val="11.5"/>
      <name val="Arial Narrow"/>
      <family val="2"/>
    </font>
    <font>
      <sz val="16"/>
      <name val="Arial Narrow"/>
      <family val="2"/>
    </font>
    <font>
      <sz val="8"/>
      <name val="Arial Narrow"/>
      <family val="2"/>
    </font>
    <font>
      <sz val="8"/>
      <name val="Arial"/>
      <family val="2"/>
    </font>
    <font>
      <b/>
      <sz val="11.5"/>
      <color indexed="8"/>
      <name val="Arial Narrow"/>
      <family val="2"/>
    </font>
    <font>
      <b/>
      <sz val="12"/>
      <name val="Arial Narrow"/>
      <family val="2"/>
    </font>
    <font>
      <sz val="12"/>
      <name val="Arial Narrow"/>
      <family val="2"/>
    </font>
    <font>
      <sz val="9"/>
      <name val="Arial Narrow"/>
      <family val="2"/>
    </font>
    <font>
      <b/>
      <i/>
      <sz val="11"/>
      <name val="Arial Narrow"/>
      <family val="2"/>
    </font>
    <font>
      <sz val="10"/>
      <name val="Arial"/>
      <family val="2"/>
    </font>
    <font>
      <b/>
      <sz val="14"/>
      <name val="Arial Narrow"/>
      <family val="2"/>
    </font>
    <font>
      <b/>
      <i/>
      <sz val="12"/>
      <name val="Arial Narrow"/>
      <family val="2"/>
    </font>
    <font>
      <sz val="19"/>
      <name val="Arial Narrow"/>
      <family val="2"/>
    </font>
    <font>
      <b/>
      <sz val="16"/>
      <color indexed="12"/>
      <name val="Arial Narrow"/>
      <family val="2"/>
    </font>
    <font>
      <sz val="11.5"/>
      <color indexed="12"/>
      <name val="Arial Narrow"/>
      <family val="2"/>
    </font>
    <font>
      <sz val="12"/>
      <color indexed="12"/>
      <name val="Arial Narrow"/>
      <family val="2"/>
    </font>
    <font>
      <b/>
      <sz val="8"/>
      <color indexed="81"/>
      <name val="Tahoma"/>
      <family val="2"/>
    </font>
    <font>
      <b/>
      <sz val="10"/>
      <name val="Arial Narrow"/>
      <family val="2"/>
    </font>
    <font>
      <i/>
      <sz val="10"/>
      <name val="Arial Narrow"/>
      <family val="2"/>
    </font>
    <font>
      <sz val="8"/>
      <name val="Arial"/>
      <family val="2"/>
    </font>
    <font>
      <b/>
      <sz val="9"/>
      <name val="Arial Narrow"/>
      <family val="2"/>
    </font>
    <font>
      <sz val="8.8000000000000007"/>
      <name val="Arial Narrow"/>
      <family val="2"/>
    </font>
    <font>
      <sz val="11"/>
      <color indexed="18"/>
      <name val="Arial Narrow"/>
      <family val="2"/>
    </font>
    <font>
      <b/>
      <u/>
      <sz val="10"/>
      <color indexed="18"/>
      <name val="Arial Narrow"/>
      <family val="2"/>
    </font>
    <font>
      <u/>
      <sz val="10"/>
      <color indexed="18"/>
      <name val="Arial Narrow"/>
      <family val="2"/>
    </font>
    <font>
      <b/>
      <sz val="13"/>
      <color indexed="18"/>
      <name val="Arial Narrow"/>
      <family val="2"/>
    </font>
    <font>
      <b/>
      <i/>
      <sz val="14"/>
      <color indexed="18"/>
      <name val="Arial Narrow"/>
      <family val="2"/>
    </font>
    <font>
      <b/>
      <sz val="12"/>
      <color indexed="18"/>
      <name val="Arial Narrow"/>
      <family val="2"/>
    </font>
    <font>
      <b/>
      <sz val="19"/>
      <color indexed="18"/>
      <name val="Arial Narrow"/>
      <family val="2"/>
    </font>
    <font>
      <sz val="19"/>
      <color indexed="18"/>
      <name val="Arial Narrow"/>
      <family val="2"/>
    </font>
    <font>
      <sz val="11"/>
      <color indexed="18"/>
      <name val="Arial"/>
      <family val="2"/>
    </font>
    <font>
      <b/>
      <i/>
      <sz val="19"/>
      <color indexed="18"/>
      <name val="Arial Narrow"/>
      <family val="2"/>
    </font>
    <font>
      <sz val="11.5"/>
      <color indexed="18"/>
      <name val="Arial Narrow"/>
      <family val="2"/>
    </font>
    <font>
      <sz val="10"/>
      <color indexed="18"/>
      <name val="Arial"/>
      <family val="2"/>
    </font>
    <font>
      <sz val="9"/>
      <name val="Arial"/>
      <family val="2"/>
    </font>
    <font>
      <i/>
      <sz val="11"/>
      <color indexed="10"/>
      <name val="Arial Narrow"/>
      <family val="2"/>
    </font>
    <font>
      <sz val="10"/>
      <name val="Arial"/>
      <family val="2"/>
    </font>
    <font>
      <sz val="11"/>
      <name val="Arial"/>
      <family val="2"/>
    </font>
    <font>
      <b/>
      <sz val="10"/>
      <name val="Arial"/>
      <family val="2"/>
    </font>
    <font>
      <b/>
      <sz val="11.5"/>
      <color indexed="12"/>
      <name val="Arial Narrow"/>
      <family val="2"/>
    </font>
    <font>
      <sz val="11.5"/>
      <color rgb="FF0070C0"/>
      <name val="Arial Narrow"/>
      <family val="2"/>
    </font>
    <font>
      <sz val="12"/>
      <color rgb="FF04206E"/>
      <name val="Arial"/>
      <family val="2"/>
    </font>
    <font>
      <sz val="12"/>
      <color rgb="FF04206E"/>
      <name val="Arial Narrow"/>
      <family val="2"/>
    </font>
    <font>
      <sz val="12"/>
      <name val="Arial"/>
      <family val="2"/>
    </font>
    <font>
      <sz val="12"/>
      <name val="Times New Roman"/>
      <family val="1"/>
    </font>
    <font>
      <u/>
      <sz val="12"/>
      <color indexed="12"/>
      <name val="Arial"/>
      <family val="2"/>
    </font>
    <font>
      <sz val="11"/>
      <color rgb="FF0070C0"/>
      <name val="Arial Narrow"/>
      <family val="2"/>
    </font>
    <font>
      <sz val="11.5"/>
      <color rgb="FF04206E"/>
      <name val="Arial Narrow"/>
      <family val="2"/>
    </font>
    <font>
      <b/>
      <sz val="11.5"/>
      <color rgb="FF0070C0"/>
      <name val="Arial Narrow"/>
      <family val="2"/>
    </font>
    <font>
      <sz val="11.5"/>
      <color rgb="FFFF0000"/>
      <name val="Arial Narrow"/>
      <family val="2"/>
    </font>
    <font>
      <b/>
      <sz val="14"/>
      <color rgb="FFFF0000"/>
      <name val="Arial Narrow"/>
      <family val="2"/>
    </font>
    <font>
      <sz val="12"/>
      <name val="Arial"/>
      <family val="2"/>
    </font>
    <font>
      <b/>
      <sz val="9"/>
      <color indexed="81"/>
      <name val="Tahoma"/>
      <family val="2"/>
    </font>
    <font>
      <b/>
      <sz val="11"/>
      <name val="Arial"/>
      <family val="2"/>
    </font>
    <font>
      <b/>
      <sz val="11"/>
      <color rgb="FFFF0000"/>
      <name val="Arial Narrow"/>
      <family val="2"/>
    </font>
    <font>
      <b/>
      <u/>
      <sz val="11"/>
      <name val="Arial"/>
      <family val="2"/>
    </font>
    <font>
      <sz val="11"/>
      <color rgb="FFFF0000"/>
      <name val="Arial Narrow"/>
      <family val="2"/>
    </font>
    <font>
      <b/>
      <sz val="11.5"/>
      <color rgb="FFFF0000"/>
      <name val="Arial Narrow"/>
      <family val="2"/>
    </font>
    <font>
      <sz val="11.5"/>
      <color rgb="FF0000FF"/>
      <name val="Arial Narrow"/>
      <family val="2"/>
    </font>
    <font>
      <b/>
      <sz val="11.5"/>
      <color rgb="FF0000FF"/>
      <name val="Arial Narrow"/>
      <family val="2"/>
    </font>
    <font>
      <sz val="11"/>
      <color rgb="FF0000FF"/>
      <name val="Arial Narrow"/>
      <family val="2"/>
    </font>
    <font>
      <sz val="11"/>
      <color rgb="FF0000FF"/>
      <name val="Arial"/>
      <family val="2"/>
    </font>
    <font>
      <sz val="14"/>
      <name val="Arial Narrow"/>
      <family val="2"/>
    </font>
    <font>
      <i/>
      <sz val="11.5"/>
      <color rgb="FF0000FF"/>
      <name val="Arial Narrow"/>
      <family val="2"/>
    </font>
    <font>
      <sz val="11"/>
      <name val="Arial"/>
      <family val="2"/>
    </font>
    <font>
      <i/>
      <sz val="9"/>
      <color rgb="FF3366FF"/>
      <name val="Arial"/>
      <family val="2"/>
    </font>
    <font>
      <sz val="10"/>
      <color rgb="FF0070C0"/>
      <name val="Arial Narrow"/>
      <family val="2"/>
    </font>
    <font>
      <b/>
      <sz val="11"/>
      <color rgb="FF0000FF"/>
      <name val="Arial Narrow"/>
      <family val="2"/>
    </font>
    <font>
      <sz val="10"/>
      <color rgb="FF0000FF"/>
      <name val="Arial Narrow"/>
      <family val="2"/>
    </font>
    <font>
      <b/>
      <sz val="11"/>
      <color rgb="FF0000FF"/>
      <name val="Arial"/>
      <family val="2"/>
    </font>
    <font>
      <b/>
      <sz val="14"/>
      <color rgb="FF0000FF"/>
      <name val="Arial"/>
      <family val="2"/>
    </font>
    <font>
      <sz val="11"/>
      <color rgb="FF006100"/>
      <name val="Calibri"/>
      <family val="2"/>
      <scheme val="minor"/>
    </font>
    <font>
      <b/>
      <sz val="14"/>
      <color rgb="FF0000FF"/>
      <name val="Arial Narrow"/>
      <family val="2"/>
    </font>
    <font>
      <sz val="12"/>
      <color rgb="FF000000"/>
      <name val="Arial"/>
      <family val="2"/>
    </font>
    <font>
      <vertAlign val="superscript"/>
      <sz val="11"/>
      <color rgb="FF000000"/>
      <name val="Arial"/>
      <family val="2"/>
    </font>
    <font>
      <sz val="10.5"/>
      <color rgb="FF0000FF"/>
      <name val="Arial"/>
      <family val="2"/>
    </font>
    <font>
      <i/>
      <sz val="10.5"/>
      <color rgb="FF0000FF"/>
      <name val="Arial"/>
      <family val="2"/>
    </font>
    <font>
      <b/>
      <sz val="11.5"/>
      <color theme="3"/>
      <name val="Arial Narrow"/>
      <family val="2"/>
    </font>
    <font>
      <sz val="12"/>
      <color rgb="FF002060"/>
      <name val="Arial"/>
      <family val="2"/>
    </font>
    <font>
      <sz val="11"/>
      <color rgb="FF002060"/>
      <name val="Arial Narrow"/>
      <family val="2"/>
    </font>
    <font>
      <b/>
      <sz val="11.5"/>
      <color rgb="FF002060"/>
      <name val="Arial Narrow"/>
      <family val="2"/>
    </font>
    <font>
      <b/>
      <sz val="16"/>
      <color rgb="FF0000FF"/>
      <name val="Arial Narrow"/>
      <family val="2"/>
    </font>
    <font>
      <sz val="10"/>
      <color rgb="FF0000FF"/>
      <name val="Arial"/>
      <family val="2"/>
    </font>
    <font>
      <b/>
      <sz val="10"/>
      <color rgb="FF0000FF"/>
      <name val="Arial Narrow"/>
      <family val="2"/>
    </font>
    <font>
      <b/>
      <u/>
      <sz val="11.5"/>
      <color rgb="FF0000FF"/>
      <name val="Arial Narrow"/>
      <family val="2"/>
    </font>
    <font>
      <sz val="11"/>
      <color rgb="FF0000FF"/>
      <name val="Calibri"/>
      <family val="2"/>
      <scheme val="minor"/>
    </font>
    <font>
      <b/>
      <sz val="9"/>
      <color rgb="FF0000FF"/>
      <name val="Arial"/>
      <family val="2"/>
    </font>
    <font>
      <b/>
      <sz val="16"/>
      <name val="Calibri"/>
      <family val="2"/>
    </font>
    <font>
      <sz val="11.5"/>
      <color rgb="FF002060"/>
      <name val="Arial Narrow"/>
      <family val="2"/>
    </font>
    <font>
      <u/>
      <sz val="11"/>
      <color rgb="FF002060"/>
      <name val="Arial"/>
      <family val="2"/>
    </font>
    <font>
      <b/>
      <sz val="11"/>
      <color rgb="FF002060"/>
      <name val="Calibri"/>
      <family val="2"/>
      <scheme val="minor"/>
    </font>
    <font>
      <b/>
      <sz val="11"/>
      <color rgb="FF002060"/>
      <name val="Arial Narrow"/>
      <family val="2"/>
    </font>
    <font>
      <b/>
      <i/>
      <sz val="11"/>
      <color rgb="FF0000FF"/>
      <name val="Arial Narrow"/>
      <family val="2"/>
    </font>
    <font>
      <sz val="11.5"/>
      <color rgb="FFFFFF00"/>
      <name val="Arial Narrow"/>
      <family val="2"/>
    </font>
    <font>
      <b/>
      <sz val="11"/>
      <color rgb="FF0070C0"/>
      <name val="Arial Narrow"/>
      <family val="2"/>
    </font>
    <font>
      <i/>
      <sz val="10"/>
      <color rgb="FF0000FF"/>
      <name val="Arial Narrow"/>
      <family val="2"/>
    </font>
    <font>
      <b/>
      <sz val="14"/>
      <color rgb="FF0070C0"/>
      <name val="Arial Narrow"/>
      <family val="2"/>
    </font>
    <font>
      <sz val="11"/>
      <color rgb="FFFFFF00"/>
      <name val="Arial"/>
      <family val="2"/>
    </font>
    <font>
      <sz val="11"/>
      <color rgb="FFFFFF00"/>
      <name val="Arial Narrow"/>
      <family val="2"/>
    </font>
    <font>
      <i/>
      <sz val="11"/>
      <name val="Arial"/>
      <family val="2"/>
    </font>
    <font>
      <i/>
      <sz val="9"/>
      <color rgb="FF0070C0"/>
      <name val="Gill Sans MT"/>
      <family val="2"/>
    </font>
    <font>
      <sz val="9"/>
      <color rgb="FF0070C0"/>
      <name val="Symbol"/>
      <family val="1"/>
      <charset val="2"/>
    </font>
    <font>
      <u/>
      <sz val="10"/>
      <color indexed="12"/>
      <name val="Arial Narrow"/>
      <family val="2"/>
    </font>
    <font>
      <b/>
      <sz val="12"/>
      <color rgb="FF0000FF"/>
      <name val="Arial Narrow"/>
      <family val="2"/>
    </font>
    <font>
      <u/>
      <sz val="11"/>
      <name val="Arial"/>
      <family val="2"/>
    </font>
    <font>
      <i/>
      <u/>
      <sz val="11"/>
      <name val="Arial"/>
      <family val="2"/>
    </font>
    <font>
      <u/>
      <sz val="10"/>
      <name val="Arial Narrow"/>
      <family val="2"/>
    </font>
    <font>
      <u/>
      <sz val="10"/>
      <color indexed="12"/>
      <name val="Arial"/>
      <family val="2"/>
    </font>
    <font>
      <sz val="9"/>
      <color rgb="FF0070C0"/>
      <name val="Arial Narrow"/>
      <family val="2"/>
    </font>
    <font>
      <sz val="10"/>
      <color indexed="8"/>
      <name val="Arial Narrow"/>
      <family val="2"/>
    </font>
    <font>
      <b/>
      <sz val="10"/>
      <color rgb="FFFF0000"/>
      <name val="Arial Narrow"/>
      <family val="2"/>
    </font>
    <font>
      <i/>
      <sz val="10"/>
      <color indexed="12"/>
      <name val="Arial"/>
      <family val="2"/>
    </font>
    <font>
      <i/>
      <sz val="10"/>
      <color rgb="FF0000FF"/>
      <name val="Arial"/>
      <family val="2"/>
    </font>
    <font>
      <sz val="10"/>
      <color rgb="FF0000FF"/>
      <name val="Symbol"/>
      <family val="1"/>
      <charset val="2"/>
    </font>
    <font>
      <sz val="10"/>
      <color rgb="FF0000FF"/>
      <name val="Times New Roman"/>
      <family val="1"/>
    </font>
    <font>
      <b/>
      <i/>
      <sz val="10.5"/>
      <name val="Arial Narrow"/>
      <family val="2"/>
    </font>
    <font>
      <sz val="10.5"/>
      <name val="Arial Narrow"/>
      <family val="2"/>
    </font>
    <font>
      <b/>
      <sz val="10.5"/>
      <name val="Arial Narrow"/>
      <family val="2"/>
    </font>
    <font>
      <sz val="10.5"/>
      <color rgb="FF0070C0"/>
      <name val="Arial Narrow"/>
      <family val="2"/>
    </font>
    <font>
      <sz val="10.5"/>
      <color indexed="8"/>
      <name val="Arial Narrow"/>
      <family val="2"/>
    </font>
    <font>
      <i/>
      <sz val="10.5"/>
      <name val="Arial Narrow"/>
      <family val="2"/>
    </font>
    <font>
      <b/>
      <sz val="10.5"/>
      <color rgb="FFFF0000"/>
      <name val="Arial Narrow"/>
      <family val="2"/>
    </font>
    <font>
      <i/>
      <sz val="10.5"/>
      <color rgb="FF0000FF"/>
      <name val="Arial Narrow"/>
      <family val="2"/>
    </font>
    <font>
      <sz val="10.5"/>
      <color rgb="FF0000FF"/>
      <name val="Arial Narrow"/>
      <family val="2"/>
    </font>
    <font>
      <b/>
      <sz val="10.5"/>
      <color rgb="FF0000FF"/>
      <name val="Arial Narrow"/>
      <family val="2"/>
    </font>
    <font>
      <strike/>
      <sz val="10.5"/>
      <color rgb="FFFF0000"/>
      <name val="Arial Narrow"/>
      <family val="2"/>
    </font>
    <font>
      <sz val="10.5"/>
      <color rgb="FFFF0000"/>
      <name val="Arial Narrow"/>
      <family val="2"/>
    </font>
    <font>
      <i/>
      <sz val="10.5"/>
      <color rgb="FFFF0000"/>
      <name val="Arial Narrow"/>
      <family val="2"/>
    </font>
    <font>
      <b/>
      <sz val="10.5"/>
      <color indexed="8"/>
      <name val="Arial Narrow"/>
      <family val="2"/>
    </font>
    <font>
      <i/>
      <sz val="10.5"/>
      <color rgb="FF0070C0"/>
      <name val="Arial Narrow"/>
      <family val="2"/>
    </font>
    <font>
      <sz val="10.5"/>
      <name val="Calibri"/>
      <family val="2"/>
    </font>
    <font>
      <i/>
      <sz val="10.5"/>
      <color indexed="12"/>
      <name val="Arial Narrow"/>
      <family val="2"/>
    </font>
    <font>
      <b/>
      <i/>
      <sz val="10.5"/>
      <color indexed="57"/>
      <name val="Arial Narrow"/>
      <family val="2"/>
    </font>
    <font>
      <b/>
      <i/>
      <sz val="10.5"/>
      <color rgb="FF0000FF"/>
      <name val="Arial Narrow"/>
      <family val="2"/>
    </font>
    <font>
      <u/>
      <sz val="10.5"/>
      <color indexed="12"/>
      <name val="Arial Narrow"/>
      <family val="2"/>
    </font>
    <font>
      <b/>
      <sz val="10.5"/>
      <color rgb="FF0070C0"/>
      <name val="Arial Narrow"/>
      <family val="2"/>
    </font>
    <font>
      <sz val="10.5"/>
      <name val="Arial"/>
      <family val="2"/>
    </font>
    <font>
      <sz val="10.5"/>
      <color indexed="12"/>
      <name val="Arial Narrow"/>
      <family val="2"/>
    </font>
    <font>
      <sz val="10.5"/>
      <color rgb="FF04206E"/>
      <name val="Arial Narrow"/>
      <family val="2"/>
    </font>
    <font>
      <sz val="10.5"/>
      <color theme="1"/>
      <name val="Arial Narrow"/>
      <family val="2"/>
    </font>
    <font>
      <sz val="10.5"/>
      <name val="Wingdings"/>
      <charset val="2"/>
    </font>
    <font>
      <u/>
      <sz val="10.5"/>
      <name val="Arial Narrow"/>
      <family val="2"/>
    </font>
    <font>
      <b/>
      <u/>
      <sz val="10.5"/>
      <name val="Arial Narrow"/>
      <family val="2"/>
    </font>
    <font>
      <b/>
      <i/>
      <u/>
      <sz val="10.5"/>
      <name val="Arial Narrow"/>
      <family val="2"/>
    </font>
    <font>
      <b/>
      <sz val="10.5"/>
      <name val="Arial"/>
      <family val="2"/>
    </font>
    <font>
      <vertAlign val="superscript"/>
      <sz val="10.5"/>
      <name val="Arial Narrow"/>
      <family val="2"/>
    </font>
    <font>
      <vertAlign val="superscript"/>
      <sz val="10.5"/>
      <color theme="1"/>
      <name val="Arial Narrow"/>
      <family val="2"/>
    </font>
    <font>
      <b/>
      <vertAlign val="superscript"/>
      <sz val="10.5"/>
      <name val="Arial Narrow"/>
      <family val="2"/>
    </font>
    <font>
      <sz val="10.5"/>
      <color rgb="FF00B050"/>
      <name val="Arial Narrow"/>
      <family val="2"/>
    </font>
    <font>
      <b/>
      <sz val="10.5"/>
      <color theme="1"/>
      <name val="Arial Narrow"/>
      <family val="2"/>
    </font>
    <font>
      <i/>
      <vertAlign val="superscript"/>
      <sz val="10.5"/>
      <color rgb="FF0000FF"/>
      <name val="Arial Narrow"/>
      <family val="2"/>
    </font>
    <font>
      <u/>
      <sz val="10.5"/>
      <color rgb="FF0000FF"/>
      <name val="Arial Narrow"/>
      <family val="2"/>
    </font>
    <font>
      <b/>
      <sz val="10.5"/>
      <color indexed="12"/>
      <name val="Arial Narrow"/>
      <family val="2"/>
    </font>
    <font>
      <u/>
      <sz val="10.5"/>
      <color indexed="12"/>
      <name val="Arial"/>
      <family val="2"/>
    </font>
    <font>
      <i/>
      <sz val="10.5"/>
      <color rgb="FF3366FF"/>
      <name val="Arial Narrow"/>
      <family val="2"/>
    </font>
    <font>
      <b/>
      <i/>
      <sz val="10"/>
      <name val="Arial Narrow"/>
      <family val="2"/>
    </font>
    <font>
      <b/>
      <sz val="9"/>
      <name val="Arial"/>
      <family val="2"/>
    </font>
    <font>
      <sz val="9"/>
      <color indexed="81"/>
      <name val="Tahoma"/>
      <family val="2"/>
    </font>
    <font>
      <b/>
      <sz val="11"/>
      <color rgb="FFFF0000"/>
      <name val="Arial"/>
      <family val="2"/>
    </font>
    <font>
      <b/>
      <sz val="11.5"/>
      <color rgb="FFFFFF00"/>
      <name val="Arial Narrow"/>
      <family val="2"/>
    </font>
    <font>
      <b/>
      <sz val="12"/>
      <color rgb="FF0070C0"/>
      <name val="Arial Narrow"/>
      <family val="2"/>
    </font>
    <font>
      <sz val="10.5"/>
      <color rgb="FF00B0F0"/>
      <name val="Arial Narrow"/>
      <family val="2"/>
    </font>
    <font>
      <sz val="10"/>
      <color rgb="FFFF0000"/>
      <name val="Arial Narrow"/>
      <family val="2"/>
    </font>
    <font>
      <u/>
      <sz val="11"/>
      <color rgb="FF0000FF"/>
      <name val="Arial"/>
      <family val="2"/>
    </font>
    <font>
      <i/>
      <sz val="11"/>
      <color rgb="FF0000FF"/>
      <name val="Arial"/>
      <family val="2"/>
    </font>
    <font>
      <sz val="11"/>
      <color rgb="FFFF0000"/>
      <name val="Arial"/>
      <family val="2"/>
    </font>
    <font>
      <b/>
      <i/>
      <sz val="8"/>
      <color rgb="FF0000FF"/>
      <name val="Arial Narrow"/>
      <family val="2"/>
    </font>
    <font>
      <b/>
      <i/>
      <sz val="11.5"/>
      <color rgb="FF0000FF"/>
      <name val="Arial Narrow"/>
      <family val="2"/>
    </font>
    <font>
      <sz val="11"/>
      <color indexed="12"/>
      <name val="Arial Narrow"/>
      <family val="2"/>
    </font>
    <font>
      <i/>
      <sz val="11"/>
      <color rgb="FF0000FF"/>
      <name val="Arial Narrow"/>
      <family val="2"/>
    </font>
    <font>
      <b/>
      <u/>
      <sz val="11"/>
      <color rgb="FF0000FF"/>
      <name val="Arial Narrow"/>
      <family val="2"/>
    </font>
    <font>
      <b/>
      <sz val="11"/>
      <color rgb="FFFFFF00"/>
      <name val="Arial Narrow"/>
      <family val="2"/>
    </font>
  </fonts>
  <fills count="2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D6F5F8"/>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C6EFCE"/>
      </patternFill>
    </fill>
    <fill>
      <patternFill patternType="solid">
        <fgColor theme="8" tint="0.79998168889431442"/>
        <bgColor indexed="64"/>
      </patternFill>
    </fill>
    <fill>
      <patternFill patternType="solid">
        <fgColor rgb="FFFFC000"/>
        <bgColor indexed="64"/>
      </patternFill>
    </fill>
    <fill>
      <patternFill patternType="solid">
        <fgColor rgb="FFCCFFFF"/>
        <bgColor indexed="64"/>
      </patternFill>
    </fill>
    <fill>
      <patternFill patternType="solid">
        <fgColor theme="0"/>
        <bgColor theme="0"/>
      </patternFill>
    </fill>
    <fill>
      <patternFill patternType="solid">
        <fgColor rgb="FF92D050"/>
        <bgColor theme="0"/>
      </patternFill>
    </fill>
    <fill>
      <patternFill patternType="solid">
        <fgColor rgb="FFFF0000"/>
        <bgColor indexed="64"/>
      </patternFill>
    </fill>
    <fill>
      <patternFill patternType="solid">
        <fgColor rgb="FFFFFF00"/>
        <bgColor theme="0"/>
      </patternFill>
    </fill>
    <fill>
      <patternFill patternType="solid">
        <fgColor rgb="FF8DB4E2"/>
        <bgColor indexed="64"/>
      </patternFill>
    </fill>
    <fill>
      <patternFill patternType="solid">
        <fgColor rgb="FFFF33CC"/>
        <bgColor indexed="64"/>
      </patternFill>
    </fill>
  </fills>
  <borders count="67">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12"/>
      </left>
      <right/>
      <top/>
      <bottom/>
      <diagonal/>
    </border>
    <border>
      <left/>
      <right style="medium">
        <color indexed="12"/>
      </right>
      <top/>
      <bottom/>
      <diagonal/>
    </border>
    <border>
      <left style="medium">
        <color indexed="12"/>
      </left>
      <right/>
      <top/>
      <bottom style="medium">
        <color indexed="12"/>
      </bottom>
      <diagonal/>
    </border>
    <border>
      <left/>
      <right style="medium">
        <color indexed="12"/>
      </right>
      <top/>
      <bottom style="medium">
        <color indexed="12"/>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12"/>
      </left>
      <right/>
      <top style="medium">
        <color indexed="12"/>
      </top>
      <bottom/>
      <diagonal/>
    </border>
    <border>
      <left/>
      <right style="medium">
        <color indexed="12"/>
      </right>
      <top style="medium">
        <color indexed="12"/>
      </top>
      <bottom/>
      <diagonal/>
    </border>
    <border>
      <left/>
      <right/>
      <top style="medium">
        <color indexed="12"/>
      </top>
      <bottom/>
      <diagonal/>
    </border>
    <border>
      <left/>
      <right/>
      <top/>
      <bottom style="medium">
        <color indexed="1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right style="medium">
        <color rgb="FF0000FF"/>
      </right>
      <top style="medium">
        <color rgb="FF0000FF"/>
      </top>
      <bottom style="medium">
        <color rgb="FF0000FF"/>
      </bottom>
      <diagonal/>
    </border>
    <border>
      <left style="thick">
        <color rgb="FF0000FF"/>
      </left>
      <right/>
      <top style="thick">
        <color rgb="FF0000FF"/>
      </top>
      <bottom style="thick">
        <color rgb="FF0000FF"/>
      </bottom>
      <diagonal/>
    </border>
    <border>
      <left/>
      <right style="thick">
        <color rgb="FF0000FF"/>
      </right>
      <top style="thick">
        <color rgb="FF0000FF"/>
      </top>
      <bottom style="thick">
        <color rgb="FF0000FF"/>
      </bottom>
      <diagonal/>
    </border>
    <border>
      <left/>
      <right/>
      <top style="thick">
        <color rgb="FF0000FF"/>
      </top>
      <bottom style="thick">
        <color rgb="FF0000FF"/>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s>
  <cellStyleXfs count="24">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12" fillId="0" borderId="0">
      <alignment horizontal="justify" vertical="top" wrapText="1"/>
    </xf>
    <xf numFmtId="0" fontId="23" fillId="0" borderId="0"/>
    <xf numFmtId="0" fontId="50" fillId="0" borderId="0"/>
    <xf numFmtId="0" fontId="51" fillId="0" borderId="0"/>
    <xf numFmtId="44" fontId="1" fillId="0" borderId="0" applyFont="0" applyFill="0" applyBorder="0" applyAlignment="0" applyProtection="0"/>
    <xf numFmtId="9" fontId="1" fillId="0" borderId="0" applyFont="0" applyFill="0" applyBorder="0" applyAlignment="0" applyProtection="0"/>
    <xf numFmtId="0" fontId="57" fillId="0" borderId="0"/>
    <xf numFmtId="167" fontId="57" fillId="0" borderId="0" applyFont="0" applyFill="0" applyBorder="0" applyAlignment="0" applyProtection="0"/>
    <xf numFmtId="0" fontId="59" fillId="0" borderId="0" applyNumberFormat="0" applyFill="0" applyBorder="0" applyAlignment="0" applyProtection="0">
      <alignment vertical="top"/>
      <protection locked="0"/>
    </xf>
    <xf numFmtId="37" fontId="23" fillId="0" borderId="0" applyFont="0" applyFill="0" applyBorder="0" applyProtection="0">
      <alignment vertical="top"/>
    </xf>
    <xf numFmtId="1" fontId="58" fillId="0" borderId="0" applyFill="0" applyBorder="0">
      <alignment horizontal="center"/>
    </xf>
    <xf numFmtId="0" fontId="65" fillId="0" borderId="0"/>
    <xf numFmtId="167" fontId="65" fillId="0" borderId="0" applyFont="0" applyFill="0" applyBorder="0" applyAlignment="0" applyProtection="0"/>
    <xf numFmtId="0" fontId="1" fillId="0" borderId="0"/>
    <xf numFmtId="9" fontId="78" fillId="0" borderId="0" applyFont="0" applyFill="0" applyBorder="0" applyAlignment="0" applyProtection="0"/>
    <xf numFmtId="0" fontId="1" fillId="0" borderId="0"/>
    <xf numFmtId="0" fontId="85" fillId="14" borderId="0" applyNumberFormat="0" applyBorder="0" applyAlignment="0" applyProtection="0"/>
    <xf numFmtId="0" fontId="57" fillId="0" borderId="0"/>
    <xf numFmtId="167" fontId="57" fillId="0" borderId="0" applyFont="0" applyFill="0" applyBorder="0" applyAlignment="0" applyProtection="0"/>
    <xf numFmtId="0" fontId="57" fillId="0" borderId="0"/>
    <xf numFmtId="167" fontId="57" fillId="0" borderId="0" applyFont="0" applyFill="0" applyBorder="0" applyAlignment="0" applyProtection="0"/>
  </cellStyleXfs>
  <cellXfs count="2484">
    <xf numFmtId="0" fontId="0" fillId="0" borderId="0" xfId="0"/>
    <xf numFmtId="0" fontId="3" fillId="0" borderId="0" xfId="0" applyFont="1" applyFill="1"/>
    <xf numFmtId="0" fontId="3" fillId="0" borderId="0" xfId="0" applyFont="1" applyFill="1" applyAlignment="1">
      <alignment horizontal="center"/>
    </xf>
    <xf numFmtId="0" fontId="5" fillId="0" borderId="0" xfId="0" applyFont="1" applyFill="1"/>
    <xf numFmtId="0" fontId="6" fillId="0" borderId="0" xfId="0" applyFont="1" applyFill="1"/>
    <xf numFmtId="0" fontId="5" fillId="0" borderId="0" xfId="0" applyFont="1" applyFill="1" applyAlignment="1">
      <alignment horizontal="center"/>
    </xf>
    <xf numFmtId="0" fontId="3" fillId="0" borderId="0" xfId="0" applyFont="1"/>
    <xf numFmtId="0" fontId="3" fillId="0" borderId="1" xfId="0" applyFont="1" applyBorder="1"/>
    <xf numFmtId="0" fontId="3" fillId="0" borderId="0" xfId="0" applyFont="1" applyBorder="1"/>
    <xf numFmtId="164" fontId="10" fillId="0" borderId="0" xfId="1" applyNumberFormat="1" applyFont="1" applyFill="1" applyBorder="1" applyAlignment="1">
      <alignment horizontal="right"/>
    </xf>
    <xf numFmtId="164" fontId="3" fillId="0" borderId="0" xfId="1" applyNumberFormat="1" applyFont="1" applyFill="1" applyBorder="1"/>
    <xf numFmtId="0" fontId="3" fillId="0" borderId="0" xfId="0" applyFont="1" applyFill="1" applyBorder="1"/>
    <xf numFmtId="164" fontId="3" fillId="0" borderId="0" xfId="1" applyNumberFormat="1" applyFont="1" applyFill="1"/>
    <xf numFmtId="164" fontId="4" fillId="0" borderId="0" xfId="1" applyNumberFormat="1" applyFont="1" applyFill="1" applyBorder="1" applyAlignment="1">
      <alignment horizontal="center"/>
    </xf>
    <xf numFmtId="0" fontId="5" fillId="0" borderId="0" xfId="0" applyFont="1"/>
    <xf numFmtId="0" fontId="6" fillId="0" borderId="0" xfId="0" applyFont="1" applyFill="1" applyAlignment="1">
      <alignment horizontal="center"/>
    </xf>
    <xf numFmtId="0" fontId="5" fillId="0" borderId="0" xfId="0" applyFont="1" applyAlignment="1">
      <alignment horizontal="center"/>
    </xf>
    <xf numFmtId="164" fontId="6" fillId="0" borderId="0" xfId="1" applyNumberFormat="1" applyFont="1" applyFill="1" applyBorder="1" applyAlignment="1">
      <alignment horizontal="right"/>
    </xf>
    <xf numFmtId="164" fontId="5" fillId="0" borderId="0" xfId="1" applyNumberFormat="1" applyFont="1" applyFill="1"/>
    <xf numFmtId="0" fontId="5" fillId="0" borderId="0" xfId="0" applyFont="1" applyFill="1" applyBorder="1"/>
    <xf numFmtId="0" fontId="6" fillId="0" borderId="0" xfId="0" applyFont="1"/>
    <xf numFmtId="165" fontId="5" fillId="0" borderId="0" xfId="1" applyNumberFormat="1" applyFont="1"/>
    <xf numFmtId="164" fontId="5" fillId="0" borderId="0" xfId="0" applyNumberFormat="1" applyFont="1"/>
    <xf numFmtId="164" fontId="5" fillId="0" borderId="0" xfId="0" applyNumberFormat="1" applyFont="1" applyFill="1"/>
    <xf numFmtId="0" fontId="3" fillId="0" borderId="1" xfId="0" applyFont="1" applyFill="1" applyBorder="1"/>
    <xf numFmtId="0" fontId="10" fillId="0" borderId="0" xfId="0" applyFont="1" applyFill="1" applyBorder="1"/>
    <xf numFmtId="0" fontId="10" fillId="0" borderId="0" xfId="0" applyFont="1" applyFill="1" applyBorder="1" applyAlignment="1">
      <alignment horizontal="right"/>
    </xf>
    <xf numFmtId="0" fontId="5" fillId="0" borderId="1" xfId="0" applyFont="1" applyFill="1" applyBorder="1"/>
    <xf numFmtId="0" fontId="5" fillId="0" borderId="0" xfId="0" applyFont="1" applyFill="1" applyAlignment="1">
      <alignment horizontal="left"/>
    </xf>
    <xf numFmtId="0" fontId="15" fillId="0" borderId="0" xfId="0" applyFont="1" applyFill="1"/>
    <xf numFmtId="0" fontId="6" fillId="0" borderId="0" xfId="0" applyFont="1" applyFill="1" applyBorder="1" applyAlignment="1">
      <alignment horizontal="right"/>
    </xf>
    <xf numFmtId="0" fontId="6" fillId="0" borderId="0" xfId="0" applyFont="1" applyFill="1" applyBorder="1" applyAlignment="1">
      <alignment horizontal="center"/>
    </xf>
    <xf numFmtId="0" fontId="16" fillId="0" borderId="0" xfId="0" applyFont="1" applyFill="1"/>
    <xf numFmtId="0" fontId="16" fillId="0" borderId="1" xfId="0" applyFont="1" applyFill="1" applyBorder="1"/>
    <xf numFmtId="0" fontId="16" fillId="0" borderId="0" xfId="0" applyFont="1" applyFill="1" applyBorder="1"/>
    <xf numFmtId="0" fontId="6" fillId="0" borderId="0" xfId="0" applyFont="1" applyFill="1" applyAlignment="1">
      <alignment horizontal="right"/>
    </xf>
    <xf numFmtId="0" fontId="5" fillId="0" borderId="0" xfId="0" applyFont="1" applyFill="1" applyAlignment="1">
      <alignment horizontal="right"/>
    </xf>
    <xf numFmtId="0" fontId="5" fillId="0" borderId="0" xfId="0" applyFont="1" applyFill="1" applyAlignment="1">
      <alignment horizontal="justify" vertical="top" wrapText="1"/>
    </xf>
    <xf numFmtId="0" fontId="5" fillId="0" borderId="0" xfId="0" applyFont="1" applyFill="1" applyAlignment="1">
      <alignment horizontal="center" vertical="top"/>
    </xf>
    <xf numFmtId="0" fontId="13" fillId="0" borderId="0" xfId="0" applyFont="1" applyFill="1" applyBorder="1" applyAlignment="1">
      <alignment horizontal="right"/>
    </xf>
    <xf numFmtId="0" fontId="5" fillId="0" borderId="0" xfId="0" applyFont="1" applyFill="1" applyAlignment="1">
      <alignment horizontal="center" vertical="top" wrapText="1"/>
    </xf>
    <xf numFmtId="0" fontId="5" fillId="0" borderId="0" xfId="0" applyFont="1" applyAlignment="1">
      <alignment horizontal="justify" vertical="top" wrapText="1"/>
    </xf>
    <xf numFmtId="0" fontId="5" fillId="0" borderId="0" xfId="0" applyFont="1" applyAlignment="1">
      <alignment horizontal="center" vertical="top"/>
    </xf>
    <xf numFmtId="0" fontId="5" fillId="0" borderId="0" xfId="0" applyFont="1" applyBorder="1"/>
    <xf numFmtId="0" fontId="6" fillId="0" borderId="0" xfId="0" applyFont="1" applyAlignment="1">
      <alignment horizontal="center"/>
    </xf>
    <xf numFmtId="38" fontId="3" fillId="0" borderId="0" xfId="0" applyNumberFormat="1" applyFont="1" applyFill="1"/>
    <xf numFmtId="0" fontId="5" fillId="0" borderId="0" xfId="0" applyFont="1" applyFill="1" applyAlignment="1">
      <alignment wrapText="1"/>
    </xf>
    <xf numFmtId="0" fontId="12" fillId="0" borderId="0" xfId="3" applyFont="1" applyAlignment="1">
      <alignment horizontal="justify" vertical="top" wrapText="1"/>
    </xf>
    <xf numFmtId="0" fontId="5" fillId="0" borderId="0" xfId="0" applyFont="1" applyFill="1" applyAlignment="1">
      <alignment vertical="top"/>
    </xf>
    <xf numFmtId="1" fontId="6" fillId="0" borderId="0" xfId="0" applyNumberFormat="1" applyFont="1" applyFill="1" applyBorder="1" applyAlignment="1">
      <alignment horizontal="right"/>
    </xf>
    <xf numFmtId="0" fontId="14" fillId="0" borderId="0" xfId="0" applyFont="1" applyFill="1"/>
    <xf numFmtId="0" fontId="14" fillId="0" borderId="0" xfId="0" applyFont="1" applyFill="1" applyAlignment="1">
      <alignment horizontal="left"/>
    </xf>
    <xf numFmtId="0" fontId="5" fillId="0" borderId="0" xfId="0" applyFont="1" applyFill="1" applyAlignment="1"/>
    <xf numFmtId="0" fontId="6" fillId="0" borderId="0" xfId="0" applyFont="1" applyFill="1" applyAlignment="1">
      <alignment horizontal="center" vertical="top" wrapText="1"/>
    </xf>
    <xf numFmtId="0" fontId="12" fillId="0" borderId="0" xfId="3" applyFont="1">
      <alignment horizontal="justify" vertical="top" wrapText="1"/>
    </xf>
    <xf numFmtId="0" fontId="13" fillId="0" borderId="0" xfId="0" applyFont="1" applyFill="1" applyAlignment="1">
      <alignment horizontal="justify" vertical="top" wrapText="1"/>
    </xf>
    <xf numFmtId="0" fontId="5" fillId="0" borderId="0" xfId="0" applyNumberFormat="1" applyFont="1" applyFill="1"/>
    <xf numFmtId="0" fontId="3" fillId="0" borderId="0" xfId="0" applyFont="1" applyFill="1" applyAlignment="1">
      <alignment horizontal="justify" vertical="top" wrapText="1"/>
    </xf>
    <xf numFmtId="0" fontId="3" fillId="0" borderId="0" xfId="0" applyFont="1" applyFill="1" applyAlignment="1">
      <alignment horizontal="center" vertical="top" wrapText="1"/>
    </xf>
    <xf numFmtId="0" fontId="5" fillId="0" borderId="0" xfId="0" applyFont="1" applyFill="1" applyAlignment="1">
      <alignment vertical="top" wrapText="1"/>
    </xf>
    <xf numFmtId="0" fontId="3" fillId="0" borderId="0" xfId="0" applyFont="1" applyFill="1" applyAlignment="1">
      <alignment vertical="top" wrapText="1"/>
    </xf>
    <xf numFmtId="0" fontId="3" fillId="0" borderId="0" xfId="0" applyFont="1" applyAlignment="1">
      <alignment horizontal="justify" vertical="top" wrapText="1"/>
    </xf>
    <xf numFmtId="0" fontId="7" fillId="0" borderId="0" xfId="0" applyFont="1" applyFill="1" applyAlignment="1">
      <alignment horizontal="justify" vertical="top" wrapText="1"/>
    </xf>
    <xf numFmtId="0" fontId="20" fillId="0" borderId="0" xfId="0" applyFont="1" applyFill="1" applyAlignment="1">
      <alignment horizontal="justify" vertical="top" wrapText="1"/>
    </xf>
    <xf numFmtId="0" fontId="7" fillId="0" borderId="0" xfId="0" applyFont="1" applyFill="1" applyAlignment="1">
      <alignment horizontal="center" vertical="top" wrapText="1"/>
    </xf>
    <xf numFmtId="0" fontId="20" fillId="0" borderId="0" xfId="0" applyFont="1" applyFill="1" applyAlignment="1">
      <alignment horizontal="center" vertical="top" wrapText="1"/>
    </xf>
    <xf numFmtId="164" fontId="5" fillId="0" borderId="0" xfId="0" applyNumberFormat="1" applyFont="1" applyFill="1" applyAlignment="1">
      <alignment horizontal="center" vertical="top" wrapText="1"/>
    </xf>
    <xf numFmtId="164" fontId="5" fillId="0" borderId="0" xfId="0" applyNumberFormat="1" applyFont="1" applyFill="1" applyAlignment="1">
      <alignment vertical="top" wrapText="1"/>
    </xf>
    <xf numFmtId="164" fontId="5" fillId="0" borderId="0" xfId="1" applyNumberFormat="1" applyFont="1" applyFill="1" applyBorder="1" applyAlignment="1">
      <alignment horizontal="center" vertical="top" wrapText="1"/>
    </xf>
    <xf numFmtId="0" fontId="6" fillId="0" borderId="0" xfId="0" applyFont="1" applyFill="1" applyAlignment="1"/>
    <xf numFmtId="0" fontId="9" fillId="0" borderId="0" xfId="0" quotePrefix="1" applyFont="1" applyBorder="1" applyAlignment="1">
      <alignment horizontal="left"/>
    </xf>
    <xf numFmtId="0" fontId="14" fillId="0" borderId="0" xfId="0" applyFont="1" applyFill="1" applyAlignment="1"/>
    <xf numFmtId="0" fontId="9" fillId="0" borderId="1" xfId="0" quotePrefix="1" applyFont="1" applyBorder="1" applyAlignment="1">
      <alignment horizontal="justify"/>
    </xf>
    <xf numFmtId="0" fontId="9" fillId="0" borderId="0" xfId="0" quotePrefix="1" applyFont="1" applyBorder="1" applyAlignment="1">
      <alignment horizontal="left" vertical="top" wrapText="1"/>
    </xf>
    <xf numFmtId="0" fontId="11" fillId="0" borderId="0" xfId="0" applyFont="1" applyFill="1" applyBorder="1" applyAlignment="1">
      <alignment horizontal="right"/>
    </xf>
    <xf numFmtId="0" fontId="9" fillId="0" borderId="1" xfId="0" quotePrefix="1" applyFont="1" applyBorder="1" applyAlignment="1">
      <alignment horizontal="justify" vertical="top" wrapText="1"/>
    </xf>
    <xf numFmtId="0" fontId="9" fillId="0" borderId="0" xfId="0" quotePrefix="1" applyFont="1" applyBorder="1" applyAlignment="1">
      <alignment vertical="top"/>
    </xf>
    <xf numFmtId="0" fontId="10" fillId="0" borderId="0" xfId="0" applyFont="1" applyBorder="1" applyAlignment="1">
      <alignment horizontal="justify" vertical="top" wrapText="1"/>
    </xf>
    <xf numFmtId="0" fontId="9" fillId="0" borderId="1" xfId="0" quotePrefix="1" applyFont="1" applyBorder="1" applyAlignment="1">
      <alignment horizontal="justify" wrapText="1"/>
    </xf>
    <xf numFmtId="0" fontId="21" fillId="0" borderId="1" xfId="0" applyFont="1" applyBorder="1" applyAlignment="1">
      <alignment horizontal="right" wrapText="1"/>
    </xf>
    <xf numFmtId="0" fontId="14" fillId="0" borderId="0" xfId="0" applyFont="1" applyFill="1" applyAlignment="1">
      <alignment horizontal="left" vertical="top"/>
    </xf>
    <xf numFmtId="0" fontId="14" fillId="0" borderId="0" xfId="0" applyFont="1"/>
    <xf numFmtId="37" fontId="5" fillId="0" borderId="0" xfId="0" applyNumberFormat="1" applyFont="1" applyFill="1"/>
    <xf numFmtId="0" fontId="14" fillId="0" borderId="1" xfId="0" applyFont="1" applyBorder="1" applyAlignment="1">
      <alignment vertical="top"/>
    </xf>
    <xf numFmtId="0" fontId="14" fillId="0" borderId="1" xfId="0" applyFont="1" applyBorder="1" applyAlignment="1">
      <alignment horizontal="left"/>
    </xf>
    <xf numFmtId="0" fontId="14" fillId="0" borderId="1" xfId="0" applyFont="1" applyBorder="1" applyAlignment="1">
      <alignment horizontal="left" vertical="top"/>
    </xf>
    <xf numFmtId="0" fontId="14" fillId="0" borderId="0" xfId="0" applyFont="1" applyBorder="1" applyAlignment="1">
      <alignment vertical="top"/>
    </xf>
    <xf numFmtId="37" fontId="3" fillId="0" borderId="0" xfId="0" applyNumberFormat="1" applyFont="1" applyFill="1"/>
    <xf numFmtId="43" fontId="5" fillId="0" borderId="0" xfId="0" applyNumberFormat="1" applyFont="1" applyFill="1"/>
    <xf numFmtId="0" fontId="24" fillId="0" borderId="0" xfId="0" applyFont="1" applyFill="1"/>
    <xf numFmtId="0" fontId="9" fillId="0" borderId="1" xfId="0" quotePrefix="1" applyFont="1" applyFill="1" applyBorder="1" applyAlignment="1">
      <alignment horizontal="justify"/>
    </xf>
    <xf numFmtId="0" fontId="9" fillId="0" borderId="1" xfId="0" quotePrefix="1" applyFont="1" applyFill="1" applyBorder="1" applyAlignment="1">
      <alignment horizontal="justify" wrapText="1"/>
    </xf>
    <xf numFmtId="0" fontId="21" fillId="0" borderId="1" xfId="0" applyFont="1" applyFill="1" applyBorder="1" applyAlignment="1">
      <alignment horizontal="right" wrapText="1"/>
    </xf>
    <xf numFmtId="166" fontId="5" fillId="0" borderId="0" xfId="0" applyNumberFormat="1" applyFont="1" applyFill="1"/>
    <xf numFmtId="166" fontId="5" fillId="0" borderId="0" xfId="1" applyNumberFormat="1" applyFont="1" applyFill="1" applyBorder="1" applyAlignment="1">
      <alignment horizontal="right"/>
    </xf>
    <xf numFmtId="166" fontId="6" fillId="0" borderId="0" xfId="1" applyNumberFormat="1" applyFont="1" applyFill="1" applyBorder="1" applyAlignment="1">
      <alignment horizontal="right"/>
    </xf>
    <xf numFmtId="166" fontId="5" fillId="0" borderId="0" xfId="0" applyNumberFormat="1" applyFont="1" applyFill="1" applyAlignment="1">
      <alignment horizontal="right"/>
    </xf>
    <xf numFmtId="166" fontId="5" fillId="0" borderId="0" xfId="0" applyNumberFormat="1" applyFont="1" applyFill="1" applyBorder="1" applyAlignment="1">
      <alignment horizontal="right"/>
    </xf>
    <xf numFmtId="0" fontId="14" fillId="0" borderId="1" xfId="0" quotePrefix="1" applyFont="1" applyFill="1" applyBorder="1" applyAlignment="1">
      <alignment horizontal="left"/>
    </xf>
    <xf numFmtId="0" fontId="9" fillId="0" borderId="0" xfId="0" quotePrefix="1" applyFont="1" applyFill="1" applyBorder="1" applyAlignment="1">
      <alignment horizontal="left"/>
    </xf>
    <xf numFmtId="0" fontId="14" fillId="0" borderId="1" xfId="0" applyFont="1" applyFill="1" applyBorder="1" applyAlignment="1">
      <alignment horizontal="left"/>
    </xf>
    <xf numFmtId="166" fontId="3" fillId="0" borderId="0" xfId="0" applyNumberFormat="1" applyFont="1" applyFill="1" applyAlignment="1">
      <alignment horizontal="right"/>
    </xf>
    <xf numFmtId="0" fontId="6" fillId="0" borderId="0" xfId="0" quotePrefix="1" applyFont="1" applyFill="1" applyBorder="1" applyAlignment="1">
      <alignment horizontal="right"/>
    </xf>
    <xf numFmtId="166" fontId="5" fillId="0" borderId="0" xfId="0" applyNumberFormat="1" applyFont="1" applyFill="1" applyBorder="1" applyAlignment="1">
      <alignment horizontal="center"/>
    </xf>
    <xf numFmtId="0" fontId="5" fillId="0" borderId="0" xfId="0" applyFont="1" applyFill="1" applyBorder="1" applyAlignment="1">
      <alignment vertical="top" wrapText="1"/>
    </xf>
    <xf numFmtId="38" fontId="5" fillId="0" borderId="0" xfId="0" applyNumberFormat="1" applyFont="1" applyFill="1" applyBorder="1" applyAlignment="1">
      <alignment vertical="top" wrapText="1"/>
    </xf>
    <xf numFmtId="3" fontId="5" fillId="0" borderId="0" xfId="0" applyNumberFormat="1" applyFont="1" applyFill="1" applyBorder="1" applyAlignment="1">
      <alignment vertical="top" wrapText="1"/>
    </xf>
    <xf numFmtId="0" fontId="3" fillId="0" borderId="0" xfId="0" applyFont="1" applyAlignment="1">
      <alignment horizontal="left"/>
    </xf>
    <xf numFmtId="37" fontId="3" fillId="0" borderId="0" xfId="1" applyNumberFormat="1" applyFont="1" applyBorder="1" applyAlignment="1">
      <alignment horizontal="center"/>
    </xf>
    <xf numFmtId="165" fontId="3" fillId="0" borderId="0" xfId="1" applyNumberFormat="1" applyFont="1" applyBorder="1" applyAlignment="1">
      <alignment horizontal="center"/>
    </xf>
    <xf numFmtId="0" fontId="22" fillId="0" borderId="0" xfId="0" applyFont="1" applyAlignment="1">
      <alignment horizontal="left"/>
    </xf>
    <xf numFmtId="0" fontId="14" fillId="0" borderId="0" xfId="0" applyFont="1" applyFill="1" applyBorder="1" applyAlignment="1">
      <alignment horizontal="left"/>
    </xf>
    <xf numFmtId="0" fontId="3" fillId="0" borderId="0" xfId="0" applyFont="1" applyBorder="1" applyAlignment="1">
      <alignment horizontal="left"/>
    </xf>
    <xf numFmtId="0" fontId="5" fillId="0" borderId="0" xfId="0" applyFont="1" applyAlignment="1">
      <alignment horizontal="left"/>
    </xf>
    <xf numFmtId="0" fontId="22" fillId="0" borderId="0" xfId="0" applyFont="1" applyBorder="1" applyAlignment="1">
      <alignment horizontal="left"/>
    </xf>
    <xf numFmtId="0" fontId="5" fillId="0" borderId="0" xfId="0" applyFont="1" applyAlignment="1">
      <alignment vertical="top" wrapText="1"/>
    </xf>
    <xf numFmtId="0" fontId="3" fillId="0" borderId="0" xfId="0" applyFont="1" applyAlignment="1">
      <alignment vertical="top" wrapText="1"/>
    </xf>
    <xf numFmtId="0" fontId="26" fillId="0" borderId="0" xfId="0" applyFont="1" applyFill="1" applyAlignment="1">
      <alignment vertical="top" wrapText="1"/>
    </xf>
    <xf numFmtId="3" fontId="13" fillId="0" borderId="0" xfId="0" applyNumberFormat="1" applyFont="1" applyFill="1" applyBorder="1" applyAlignment="1">
      <alignment horizontal="right"/>
    </xf>
    <xf numFmtId="0" fontId="13" fillId="0" borderId="0" xfId="0" applyFont="1" applyAlignment="1">
      <alignment horizontal="left"/>
    </xf>
    <xf numFmtId="3" fontId="13" fillId="0" borderId="1" xfId="0" applyNumberFormat="1" applyFont="1" applyFill="1" applyBorder="1" applyAlignment="1">
      <alignment horizontal="right"/>
    </xf>
    <xf numFmtId="0" fontId="18" fillId="0" borderId="0" xfId="0" applyFont="1" applyFill="1"/>
    <xf numFmtId="0" fontId="5" fillId="0" borderId="1" xfId="0" applyFont="1" applyBorder="1" applyAlignment="1">
      <alignment horizontal="center"/>
    </xf>
    <xf numFmtId="0" fontId="27" fillId="2" borderId="3" xfId="0" applyFont="1" applyFill="1" applyBorder="1"/>
    <xf numFmtId="0" fontId="28" fillId="2" borderId="4" xfId="0" applyFont="1" applyFill="1" applyBorder="1"/>
    <xf numFmtId="0" fontId="28" fillId="2" borderId="5" xfId="0" applyFont="1" applyFill="1" applyBorder="1"/>
    <xf numFmtId="0" fontId="3" fillId="0" borderId="0" xfId="0" applyFont="1" applyFill="1" applyAlignment="1">
      <alignment horizontal="left"/>
    </xf>
    <xf numFmtId="37" fontId="3" fillId="0" borderId="0" xfId="1" applyNumberFormat="1" applyFont="1" applyFill="1" applyBorder="1" applyAlignment="1">
      <alignment horizontal="center"/>
    </xf>
    <xf numFmtId="37" fontId="5" fillId="0" borderId="0" xfId="0" applyNumberFormat="1" applyFont="1" applyAlignment="1">
      <alignment horizontal="center"/>
    </xf>
    <xf numFmtId="0" fontId="3" fillId="0" borderId="0" xfId="0" applyFont="1" applyBorder="1" applyAlignment="1">
      <alignment horizontal="left" indent="1"/>
    </xf>
    <xf numFmtId="0" fontId="24" fillId="0" borderId="0" xfId="0" applyFont="1" applyFill="1" applyBorder="1" applyAlignment="1">
      <alignment horizontal="left" vertical="top" wrapText="1"/>
    </xf>
    <xf numFmtId="166" fontId="3" fillId="0" borderId="0" xfId="0" applyNumberFormat="1" applyFont="1" applyFill="1"/>
    <xf numFmtId="166" fontId="3" fillId="0" borderId="0" xfId="0" applyNumberFormat="1" applyFont="1" applyFill="1" applyBorder="1"/>
    <xf numFmtId="0" fontId="25" fillId="0" borderId="0" xfId="0" applyFont="1" applyAlignment="1">
      <alignment horizontal="left" wrapText="1"/>
    </xf>
    <xf numFmtId="0" fontId="9" fillId="0" borderId="1" xfId="0" quotePrefix="1" applyFont="1" applyBorder="1" applyAlignment="1">
      <alignment horizontal="left" vertical="top" wrapText="1"/>
    </xf>
    <xf numFmtId="0" fontId="16" fillId="0" borderId="0" xfId="0" applyFont="1" applyFill="1" applyAlignment="1">
      <alignment horizontal="center"/>
    </xf>
    <xf numFmtId="0" fontId="7" fillId="0" borderId="0" xfId="0" applyFont="1" applyFill="1"/>
    <xf numFmtId="0" fontId="5" fillId="3" borderId="0" xfId="0" applyFont="1" applyFill="1" applyAlignment="1">
      <alignment horizontal="center" vertical="top"/>
    </xf>
    <xf numFmtId="0" fontId="3" fillId="3" borderId="0" xfId="0" applyFont="1" applyFill="1"/>
    <xf numFmtId="0" fontId="5" fillId="3" borderId="0" xfId="0" applyFont="1" applyFill="1" applyAlignment="1">
      <alignment horizontal="center" vertical="top" wrapText="1"/>
    </xf>
    <xf numFmtId="0" fontId="4" fillId="3" borderId="0" xfId="0" applyFont="1" applyFill="1" applyAlignment="1">
      <alignment horizontal="justify" wrapText="1"/>
    </xf>
    <xf numFmtId="0" fontId="5" fillId="3" borderId="0" xfId="0" applyFont="1" applyFill="1"/>
    <xf numFmtId="0" fontId="5" fillId="3" borderId="0" xfId="0" applyFont="1" applyFill="1" applyAlignment="1">
      <alignment horizontal="center"/>
    </xf>
    <xf numFmtId="0" fontId="5" fillId="3" borderId="0" xfId="0" applyFont="1" applyFill="1" applyBorder="1" applyAlignment="1">
      <alignment horizontal="center"/>
    </xf>
    <xf numFmtId="0" fontId="5" fillId="3" borderId="0" xfId="0" applyFont="1" applyFill="1" applyAlignment="1">
      <alignment horizontal="center" wrapText="1"/>
    </xf>
    <xf numFmtId="0" fontId="6" fillId="3" borderId="0" xfId="0" applyFont="1" applyFill="1" applyAlignment="1">
      <alignment horizontal="center"/>
    </xf>
    <xf numFmtId="0" fontId="6" fillId="3" borderId="0" xfId="0" applyFont="1" applyFill="1" applyAlignment="1">
      <alignment horizontal="center" vertical="top" wrapText="1"/>
    </xf>
    <xf numFmtId="164" fontId="5" fillId="0" borderId="0" xfId="0" applyNumberFormat="1" applyFont="1" applyFill="1" applyBorder="1" applyAlignment="1">
      <alignment horizontal="right"/>
    </xf>
    <xf numFmtId="164" fontId="5" fillId="0" borderId="0" xfId="1" applyNumberFormat="1" applyFont="1" applyFill="1" applyAlignment="1">
      <alignment horizontal="right" wrapText="1"/>
    </xf>
    <xf numFmtId="164" fontId="5" fillId="0" borderId="0" xfId="1" applyNumberFormat="1" applyFont="1" applyFill="1" applyBorder="1" applyAlignment="1">
      <alignment horizontal="right" vertical="top"/>
    </xf>
    <xf numFmtId="164" fontId="5" fillId="0" borderId="0" xfId="0" applyNumberFormat="1" applyFont="1" applyAlignment="1">
      <alignment horizontal="center"/>
    </xf>
    <xf numFmtId="0" fontId="3" fillId="3" borderId="0" xfId="0" applyFont="1" applyFill="1" applyAlignment="1">
      <alignment horizontal="center"/>
    </xf>
    <xf numFmtId="0" fontId="6" fillId="3" borderId="0" xfId="0" applyFont="1" applyFill="1" applyAlignment="1">
      <alignment horizontal="center" wrapText="1"/>
    </xf>
    <xf numFmtId="0" fontId="5" fillId="3" borderId="0" xfId="0" applyFont="1" applyFill="1" applyAlignment="1">
      <alignment wrapText="1"/>
    </xf>
    <xf numFmtId="0" fontId="3" fillId="3" borderId="0" xfId="0" applyFont="1" applyFill="1" applyAlignment="1">
      <alignment horizontal="center" wrapText="1"/>
    </xf>
    <xf numFmtId="0" fontId="5" fillId="3" borderId="0" xfId="0" quotePrefix="1" applyFont="1" applyFill="1" applyAlignment="1">
      <alignment horizontal="center" vertical="top" wrapText="1"/>
    </xf>
    <xf numFmtId="0" fontId="5" fillId="3" borderId="0" xfId="0" applyFont="1" applyFill="1" applyBorder="1" applyAlignment="1">
      <alignment horizontal="center" wrapText="1"/>
    </xf>
    <xf numFmtId="0" fontId="5" fillId="3" borderId="0" xfId="0" applyFont="1" applyFill="1" applyBorder="1" applyAlignment="1">
      <alignment horizontal="center" vertical="top"/>
    </xf>
    <xf numFmtId="1" fontId="6" fillId="3" borderId="0" xfId="0" applyNumberFormat="1" applyFont="1" applyFill="1" applyBorder="1" applyAlignment="1">
      <alignment horizontal="right"/>
    </xf>
    <xf numFmtId="0" fontId="5" fillId="0" borderId="0" xfId="0" applyFont="1" applyAlignment="1">
      <alignment horizontal="left" vertical="top" wrapText="1"/>
    </xf>
    <xf numFmtId="0" fontId="7" fillId="0" borderId="0" xfId="0" applyFont="1" applyFill="1" applyAlignment="1">
      <alignment horizontal="center"/>
    </xf>
    <xf numFmtId="0" fontId="24" fillId="0" borderId="0" xfId="0" applyFont="1" applyFill="1" applyAlignment="1">
      <alignment vertical="top" wrapText="1"/>
    </xf>
    <xf numFmtId="0" fontId="3" fillId="0" borderId="0" xfId="0" applyFont="1" applyAlignment="1">
      <alignment horizontal="center"/>
    </xf>
    <xf numFmtId="0" fontId="24" fillId="0" borderId="1" xfId="0" applyFont="1" applyFill="1" applyBorder="1" applyAlignment="1">
      <alignment vertical="top" wrapText="1"/>
    </xf>
    <xf numFmtId="0" fontId="12" fillId="0" borderId="0" xfId="3" applyFont="1" applyAlignment="1">
      <alignment vertical="top" wrapText="1"/>
    </xf>
    <xf numFmtId="0" fontId="22" fillId="0" borderId="0" xfId="0" applyFont="1" applyFill="1" applyAlignment="1">
      <alignment horizontal="left"/>
    </xf>
    <xf numFmtId="0" fontId="9" fillId="0" borderId="1" xfId="0" applyFont="1" applyFill="1" applyBorder="1" applyAlignment="1">
      <alignment horizontal="left"/>
    </xf>
    <xf numFmtId="0" fontId="9" fillId="0" borderId="0" xfId="0" applyFont="1" applyFill="1" applyAlignment="1">
      <alignment horizontal="left"/>
    </xf>
    <xf numFmtId="0" fontId="3" fillId="0" borderId="0" xfId="0" applyFont="1" applyFill="1" applyBorder="1" applyAlignment="1">
      <alignment horizontal="right"/>
    </xf>
    <xf numFmtId="41" fontId="3" fillId="0" borderId="0" xfId="0" applyNumberFormat="1" applyFont="1" applyFill="1"/>
    <xf numFmtId="164" fontId="3" fillId="0" borderId="0" xfId="0" applyNumberFormat="1" applyFont="1" applyFill="1"/>
    <xf numFmtId="0" fontId="3" fillId="3" borderId="0" xfId="0" applyFont="1" applyFill="1" applyBorder="1" applyAlignment="1">
      <alignment horizontal="center"/>
    </xf>
    <xf numFmtId="165" fontId="3" fillId="0" borderId="0" xfId="0" applyNumberFormat="1" applyFont="1" applyFill="1"/>
    <xf numFmtId="0" fontId="3" fillId="3" borderId="0" xfId="0" applyFont="1" applyFill="1" applyBorder="1" applyAlignment="1">
      <alignment horizontal="center" wrapText="1"/>
    </xf>
    <xf numFmtId="0" fontId="35" fillId="0" borderId="0" xfId="0" applyFont="1"/>
    <xf numFmtId="38" fontId="7" fillId="0" borderId="0" xfId="0" applyNumberFormat="1" applyFont="1" applyFill="1"/>
    <xf numFmtId="0" fontId="3" fillId="0" borderId="0" xfId="0" applyFont="1" applyAlignment="1">
      <alignment vertical="top"/>
    </xf>
    <xf numFmtId="0" fontId="4" fillId="0" borderId="7" xfId="0" applyFont="1" applyBorder="1" applyAlignment="1">
      <alignment horizontal="center" vertical="top"/>
    </xf>
    <xf numFmtId="0" fontId="3" fillId="0" borderId="7" xfId="0" applyFont="1" applyBorder="1" applyAlignment="1">
      <alignment vertical="top"/>
    </xf>
    <xf numFmtId="2" fontId="36" fillId="0" borderId="0" xfId="0" applyNumberFormat="1" applyFont="1" applyAlignment="1">
      <alignment vertical="top" wrapText="1"/>
    </xf>
    <xf numFmtId="0" fontId="36" fillId="0" borderId="0" xfId="0" applyFont="1" applyAlignment="1">
      <alignment vertical="top" wrapText="1"/>
    </xf>
    <xf numFmtId="0" fontId="37" fillId="0" borderId="0" xfId="0" applyFont="1" applyAlignment="1">
      <alignment vertical="top" wrapText="1"/>
    </xf>
    <xf numFmtId="0" fontId="36" fillId="0" borderId="0" xfId="0" applyFont="1"/>
    <xf numFmtId="0" fontId="38" fillId="0" borderId="0" xfId="0" applyFont="1" applyAlignment="1">
      <alignment vertical="top" wrapText="1"/>
    </xf>
    <xf numFmtId="0" fontId="39" fillId="0" borderId="0" xfId="0" applyFont="1" applyAlignment="1">
      <alignment vertical="top" wrapText="1"/>
    </xf>
    <xf numFmtId="0" fontId="40" fillId="0" borderId="0" xfId="0" applyFont="1" applyAlignment="1">
      <alignment vertical="top" wrapText="1"/>
    </xf>
    <xf numFmtId="0" fontId="41" fillId="0" borderId="0" xfId="0" applyFont="1" applyAlignment="1">
      <alignment vertical="top" wrapText="1"/>
    </xf>
    <xf numFmtId="0" fontId="42" fillId="5" borderId="3" xfId="0" applyFont="1" applyFill="1" applyBorder="1" applyAlignment="1">
      <alignment horizontal="centerContinuous" vertical="top" wrapText="1"/>
    </xf>
    <xf numFmtId="0" fontId="43" fillId="5" borderId="4" xfId="0" applyFont="1" applyFill="1" applyBorder="1" applyAlignment="1">
      <alignment horizontal="centerContinuous" vertical="top" wrapText="1"/>
    </xf>
    <xf numFmtId="0" fontId="43" fillId="5" borderId="5" xfId="0" applyFont="1" applyFill="1" applyBorder="1" applyAlignment="1">
      <alignment horizontal="centerContinuous" vertical="top" wrapText="1"/>
    </xf>
    <xf numFmtId="0" fontId="46" fillId="0" borderId="0" xfId="0" applyFont="1" applyAlignment="1">
      <alignment vertical="top" wrapText="1"/>
    </xf>
    <xf numFmtId="0" fontId="20" fillId="0" borderId="0" xfId="0" applyFont="1" applyAlignment="1">
      <alignment vertical="top"/>
    </xf>
    <xf numFmtId="0" fontId="25" fillId="0" borderId="0" xfId="0" applyFont="1" applyBorder="1" applyAlignment="1">
      <alignment horizontal="left" wrapText="1"/>
    </xf>
    <xf numFmtId="0" fontId="25" fillId="0" borderId="0" xfId="0" quotePrefix="1" applyFont="1" applyBorder="1" applyAlignment="1">
      <alignment horizontal="left" wrapText="1"/>
    </xf>
    <xf numFmtId="0" fontId="25" fillId="0" borderId="0" xfId="0" quotePrefix="1" applyFont="1" applyBorder="1" applyAlignment="1">
      <alignment horizontal="justify" wrapText="1"/>
    </xf>
    <xf numFmtId="0" fontId="25" fillId="0" borderId="0" xfId="0" quotePrefix="1" applyFont="1" applyFill="1" applyBorder="1" applyAlignment="1">
      <alignment horizontal="justify" wrapText="1"/>
    </xf>
    <xf numFmtId="0" fontId="20" fillId="0" borderId="0" xfId="0" applyFont="1" applyFill="1" applyBorder="1" applyAlignment="1">
      <alignment horizontal="right" wrapText="1"/>
    </xf>
    <xf numFmtId="0" fontId="20" fillId="0" borderId="0" xfId="0" applyFont="1" applyFill="1"/>
    <xf numFmtId="0" fontId="8" fillId="0" borderId="0" xfId="0" applyFont="1" applyFill="1" applyAlignment="1">
      <alignment vertical="top" wrapText="1"/>
    </xf>
    <xf numFmtId="0" fontId="14" fillId="0" borderId="0" xfId="0" applyFont="1" applyBorder="1" applyAlignment="1">
      <alignment horizontal="left" vertical="top"/>
    </xf>
    <xf numFmtId="0" fontId="24" fillId="0" borderId="0" xfId="0" applyFont="1" applyFill="1" applyBorder="1" applyAlignment="1">
      <alignment horizontal="center" vertical="top" wrapText="1"/>
    </xf>
    <xf numFmtId="0" fontId="7" fillId="0" borderId="0" xfId="0" applyFont="1" applyFill="1" applyBorder="1" applyAlignment="1">
      <alignment horizontal="center" vertical="top" wrapText="1"/>
    </xf>
    <xf numFmtId="0" fontId="7" fillId="0" borderId="0" xfId="0" applyFont="1" applyFill="1" applyAlignment="1">
      <alignment horizontal="center" vertical="top"/>
    </xf>
    <xf numFmtId="0" fontId="48" fillId="0" borderId="0" xfId="0" applyFont="1" applyAlignment="1">
      <alignment wrapText="1"/>
    </xf>
    <xf numFmtId="0" fontId="4" fillId="0" borderId="0" xfId="0" applyFont="1" applyFill="1" applyBorder="1"/>
    <xf numFmtId="0" fontId="4" fillId="0" borderId="0" xfId="0" applyFont="1" applyFill="1"/>
    <xf numFmtId="0" fontId="3" fillId="0" borderId="0" xfId="0" applyFont="1" applyFill="1" applyAlignment="1">
      <alignment wrapText="1"/>
    </xf>
    <xf numFmtId="0" fontId="9" fillId="0" borderId="1" xfId="0" quotePrefix="1" applyFont="1" applyBorder="1" applyAlignment="1">
      <alignment horizontal="left" wrapText="1"/>
    </xf>
    <xf numFmtId="0" fontId="16" fillId="0" borderId="0" xfId="0" applyFont="1" applyFill="1" applyAlignment="1">
      <alignment wrapText="1"/>
    </xf>
    <xf numFmtId="0" fontId="10" fillId="0" borderId="0" xfId="0" applyFont="1" applyFill="1" applyBorder="1" applyAlignment="1">
      <alignment wrapText="1"/>
    </xf>
    <xf numFmtId="0" fontId="3" fillId="0" borderId="0" xfId="0" applyFont="1" applyFill="1" applyBorder="1" applyAlignment="1">
      <alignment wrapText="1"/>
    </xf>
    <xf numFmtId="0" fontId="13" fillId="0" borderId="0" xfId="0" applyFont="1" applyFill="1" applyBorder="1" applyAlignment="1">
      <alignment wrapText="1"/>
    </xf>
    <xf numFmtId="0" fontId="9" fillId="3" borderId="0" xfId="0" quotePrefix="1" applyFont="1" applyFill="1" applyBorder="1" applyAlignment="1">
      <alignment horizontal="center"/>
    </xf>
    <xf numFmtId="0" fontId="16" fillId="3" borderId="0" xfId="0" applyFont="1" applyFill="1" applyAlignment="1">
      <alignment horizontal="center"/>
    </xf>
    <xf numFmtId="0" fontId="0" fillId="3" borderId="0" xfId="0" applyFill="1"/>
    <xf numFmtId="0" fontId="6" fillId="3" borderId="0" xfId="0" applyFont="1" applyFill="1" applyAlignment="1">
      <alignment horizontal="left"/>
    </xf>
    <xf numFmtId="0" fontId="5" fillId="0" borderId="0" xfId="5" applyFont="1" applyFill="1"/>
    <xf numFmtId="0" fontId="24" fillId="0" borderId="0" xfId="0" applyFont="1" applyFill="1" applyBorder="1" applyAlignment="1">
      <alignment vertical="top" wrapText="1"/>
    </xf>
    <xf numFmtId="0" fontId="5" fillId="0" borderId="7" xfId="5" applyFont="1" applyFill="1" applyBorder="1"/>
    <xf numFmtId="0" fontId="7" fillId="0" borderId="0" xfId="5" applyFont="1" applyFill="1"/>
    <xf numFmtId="0" fontId="7" fillId="0" borderId="0" xfId="0" applyFont="1"/>
    <xf numFmtId="0" fontId="6" fillId="5" borderId="0" xfId="0" applyFont="1" applyFill="1"/>
    <xf numFmtId="1" fontId="6" fillId="5" borderId="0" xfId="0" applyNumberFormat="1" applyFont="1" applyFill="1" applyAlignment="1">
      <alignment horizontal="center"/>
    </xf>
    <xf numFmtId="0" fontId="6" fillId="5" borderId="0" xfId="0" applyFont="1" applyFill="1" applyAlignment="1">
      <alignment horizontal="center"/>
    </xf>
    <xf numFmtId="165" fontId="5" fillId="0" borderId="0" xfId="1" applyNumberFormat="1" applyFont="1" applyFill="1"/>
    <xf numFmtId="0" fontId="3" fillId="0" borderId="0" xfId="0" applyFont="1" applyFill="1" applyAlignment="1"/>
    <xf numFmtId="0" fontId="14" fillId="0" borderId="1" xfId="0" quotePrefix="1" applyFont="1" applyBorder="1" applyAlignment="1">
      <alignment horizontal="left"/>
    </xf>
    <xf numFmtId="0" fontId="48" fillId="0" borderId="0" xfId="0" applyFont="1"/>
    <xf numFmtId="164" fontId="3" fillId="0" borderId="0" xfId="0" applyNumberFormat="1" applyFont="1"/>
    <xf numFmtId="0" fontId="5" fillId="0" borderId="0" xfId="0" applyFont="1" applyFill="1" applyAlignment="1">
      <alignment vertical="top" wrapText="1"/>
    </xf>
    <xf numFmtId="0" fontId="5" fillId="0" borderId="0" xfId="0" applyFont="1" applyFill="1" applyAlignment="1">
      <alignment horizontal="left" vertical="top"/>
    </xf>
    <xf numFmtId="49" fontId="5" fillId="6" borderId="0" xfId="0" applyNumberFormat="1" applyFont="1" applyFill="1" applyAlignment="1">
      <alignment vertical="top"/>
    </xf>
    <xf numFmtId="49" fontId="5" fillId="6" borderId="0" xfId="0" applyNumberFormat="1" applyFont="1" applyFill="1" applyAlignment="1">
      <alignment vertical="top" wrapText="1"/>
    </xf>
    <xf numFmtId="0" fontId="5" fillId="3" borderId="0" xfId="0" applyFont="1" applyFill="1" applyAlignment="1">
      <alignment horizontal="center"/>
    </xf>
    <xf numFmtId="0" fontId="5" fillId="3" borderId="0" xfId="0" applyFont="1" applyFill="1" applyAlignment="1">
      <alignment horizontal="center" vertical="top" wrapText="1"/>
    </xf>
    <xf numFmtId="0" fontId="5" fillId="3" borderId="0" xfId="0" applyFont="1" applyFill="1" applyAlignment="1">
      <alignment horizontal="center" wrapText="1"/>
    </xf>
    <xf numFmtId="0" fontId="5" fillId="3" borderId="0" xfId="0" applyFont="1" applyFill="1" applyAlignment="1">
      <alignment horizontal="center" wrapText="1"/>
    </xf>
    <xf numFmtId="0" fontId="5" fillId="3" borderId="0" xfId="0" applyFont="1" applyFill="1" applyAlignment="1">
      <alignment horizontal="center" wrapText="1"/>
    </xf>
    <xf numFmtId="0" fontId="5" fillId="3" borderId="0" xfId="0" applyFont="1" applyFill="1" applyAlignment="1">
      <alignment horizontal="center"/>
    </xf>
    <xf numFmtId="0" fontId="3" fillId="3" borderId="0" xfId="0" applyFont="1" applyFill="1" applyAlignment="1">
      <alignment horizontal="center"/>
    </xf>
    <xf numFmtId="0" fontId="5" fillId="3" borderId="0" xfId="0" applyFont="1" applyFill="1" applyAlignment="1">
      <alignment horizontal="center" vertical="top"/>
    </xf>
    <xf numFmtId="0" fontId="5" fillId="3" borderId="0" xfId="0" applyFont="1" applyFill="1" applyAlignment="1">
      <alignment horizontal="center" vertical="top" wrapText="1"/>
    </xf>
    <xf numFmtId="0" fontId="5" fillId="3" borderId="0" xfId="0" applyFont="1" applyFill="1"/>
    <xf numFmtId="0" fontId="5" fillId="3" borderId="0" xfId="0" applyFont="1" applyFill="1" applyAlignment="1">
      <alignment horizontal="center"/>
    </xf>
    <xf numFmtId="0" fontId="5" fillId="3" borderId="0" xfId="0" applyFont="1" applyFill="1" applyAlignment="1">
      <alignment horizontal="center"/>
    </xf>
    <xf numFmtId="0" fontId="3" fillId="3" borderId="0" xfId="0" applyFont="1" applyFill="1"/>
    <xf numFmtId="0" fontId="5" fillId="0" borderId="0" xfId="0" applyFont="1" applyFill="1"/>
    <xf numFmtId="0" fontId="7" fillId="3" borderId="6" xfId="0" applyFont="1" applyFill="1" applyBorder="1"/>
    <xf numFmtId="0" fontId="31" fillId="3" borderId="6" xfId="0" applyFont="1" applyFill="1" applyBorder="1"/>
    <xf numFmtId="0" fontId="0" fillId="0" borderId="0" xfId="0"/>
    <xf numFmtId="0" fontId="31" fillId="3" borderId="0" xfId="0" applyFont="1" applyFill="1" applyAlignment="1">
      <alignment horizontal="justify" wrapText="1"/>
    </xf>
    <xf numFmtId="0" fontId="31" fillId="3" borderId="0" xfId="0" applyFont="1" applyFill="1" applyAlignment="1">
      <alignment horizontal="center"/>
    </xf>
    <xf numFmtId="0" fontId="7" fillId="3" borderId="0" xfId="0" applyFont="1" applyFill="1" applyAlignment="1">
      <alignment horizontal="center" vertical="top"/>
    </xf>
    <xf numFmtId="0" fontId="5" fillId="3" borderId="0" xfId="0" applyFont="1" applyFill="1" applyAlignment="1">
      <alignment horizontal="center" vertical="top"/>
    </xf>
    <xf numFmtId="0" fontId="5" fillId="3" borderId="0" xfId="0" applyFont="1" applyFill="1" applyAlignment="1">
      <alignment horizontal="center"/>
    </xf>
    <xf numFmtId="0" fontId="5" fillId="3" borderId="0" xfId="0" applyFont="1" applyFill="1"/>
    <xf numFmtId="0" fontId="5" fillId="3" borderId="0" xfId="0" applyFont="1" applyFill="1" applyAlignment="1">
      <alignment horizontal="center" vertical="top" wrapText="1"/>
    </xf>
    <xf numFmtId="168" fontId="5" fillId="3" borderId="0" xfId="0" applyNumberFormat="1" applyFont="1" applyFill="1" applyAlignment="1">
      <alignment horizontal="center" vertical="top" wrapText="1"/>
    </xf>
    <xf numFmtId="0" fontId="55" fillId="0" borderId="0" xfId="0" applyFont="1" applyAlignment="1">
      <alignment horizontal="left" vertical="center"/>
    </xf>
    <xf numFmtId="0" fontId="55" fillId="0" borderId="0" xfId="0" applyFont="1"/>
    <xf numFmtId="0" fontId="56" fillId="0" borderId="0" xfId="0" applyFont="1" applyFill="1"/>
    <xf numFmtId="0" fontId="55" fillId="0" borderId="0" xfId="0" applyFont="1" applyAlignment="1">
      <alignment horizontal="left" vertical="center" indent="3"/>
    </xf>
    <xf numFmtId="0" fontId="55" fillId="0" borderId="0" xfId="0" applyFont="1" applyAlignment="1">
      <alignment horizontal="left" vertical="center" indent="4"/>
    </xf>
    <xf numFmtId="166" fontId="13" fillId="0" borderId="0" xfId="0" applyNumberFormat="1" applyFont="1" applyFill="1" applyAlignment="1">
      <alignment horizontal="justify" vertical="top" wrapText="1"/>
    </xf>
    <xf numFmtId="0" fontId="5" fillId="0" borderId="0" xfId="0" applyFont="1" applyFill="1" applyAlignment="1">
      <alignment horizontal="justify" vertical="top" wrapText="1"/>
    </xf>
    <xf numFmtId="1" fontId="6" fillId="0" borderId="0" xfId="0" applyNumberFormat="1" applyFont="1" applyFill="1" applyAlignment="1">
      <alignment horizontal="center"/>
    </xf>
    <xf numFmtId="0" fontId="5" fillId="0" borderId="6" xfId="0" applyFont="1" applyFill="1" applyBorder="1"/>
    <xf numFmtId="0" fontId="5" fillId="0" borderId="0" xfId="0" applyFont="1" applyFill="1" applyAlignment="1">
      <alignment horizontal="center" vertical="top" wrapText="1"/>
    </xf>
    <xf numFmtId="0" fontId="1" fillId="0" borderId="0" xfId="0" applyFont="1"/>
    <xf numFmtId="0" fontId="1" fillId="0" borderId="0" xfId="0" applyFont="1" applyFill="1" applyAlignment="1">
      <alignment horizontal="center" vertical="top"/>
    </xf>
    <xf numFmtId="0" fontId="5" fillId="0" borderId="0" xfId="0" applyFont="1" applyFill="1" applyAlignment="1">
      <alignment horizontal="justify" vertical="top" wrapText="1"/>
    </xf>
    <xf numFmtId="0" fontId="16" fillId="0" borderId="1" xfId="0" applyFont="1" applyFill="1" applyBorder="1" applyAlignment="1">
      <alignment wrapText="1"/>
    </xf>
    <xf numFmtId="0" fontId="62" fillId="0" borderId="0" xfId="0" applyFont="1" applyFill="1" applyBorder="1" applyAlignment="1"/>
    <xf numFmtId="0" fontId="6" fillId="0" borderId="0" xfId="0" applyFont="1" applyFill="1" applyAlignment="1">
      <alignment horizontal="left"/>
    </xf>
    <xf numFmtId="0" fontId="60" fillId="0" borderId="0" xfId="0" applyFont="1" applyFill="1"/>
    <xf numFmtId="0" fontId="16" fillId="0" borderId="1" xfId="0" applyFont="1" applyFill="1" applyBorder="1" applyAlignment="1">
      <alignment horizontal="left"/>
    </xf>
    <xf numFmtId="0" fontId="5" fillId="0" borderId="1" xfId="0" applyFont="1" applyFill="1" applyBorder="1" applyAlignment="1">
      <alignment horizontal="left"/>
    </xf>
    <xf numFmtId="0" fontId="6" fillId="0" borderId="0" xfId="0" applyFont="1" applyFill="1" applyAlignment="1">
      <alignment horizontal="left" vertical="top"/>
    </xf>
    <xf numFmtId="0" fontId="64" fillId="9" borderId="0" xfId="0" applyFont="1" applyFill="1" applyAlignment="1">
      <alignment horizontal="center" vertical="top" wrapText="1"/>
    </xf>
    <xf numFmtId="0" fontId="29" fillId="2" borderId="28" xfId="4" applyFont="1" applyFill="1" applyBorder="1" applyAlignment="1">
      <alignment horizontal="left" wrapText="1"/>
    </xf>
    <xf numFmtId="0" fontId="29" fillId="2" borderId="0" xfId="4" applyFont="1" applyFill="1" applyBorder="1" applyAlignment="1">
      <alignment horizontal="left" wrapText="1"/>
    </xf>
    <xf numFmtId="0" fontId="29" fillId="2" borderId="24" xfId="4" applyFont="1" applyFill="1" applyBorder="1" applyAlignment="1">
      <alignment horizontal="left" wrapText="1"/>
    </xf>
    <xf numFmtId="0" fontId="53" fillId="0" borderId="28" xfId="0" applyFont="1" applyFill="1" applyBorder="1" applyAlignment="1">
      <alignment horizontal="center"/>
    </xf>
    <xf numFmtId="0" fontId="53" fillId="0" borderId="24" xfId="0" applyFont="1" applyFill="1" applyBorder="1" applyAlignment="1">
      <alignment horizontal="center"/>
    </xf>
    <xf numFmtId="164" fontId="62" fillId="0" borderId="25" xfId="0" applyNumberFormat="1" applyFont="1" applyBorder="1" applyAlignment="1">
      <alignment horizontal="center"/>
    </xf>
    <xf numFmtId="164" fontId="62" fillId="0" borderId="27" xfId="0" applyNumberFormat="1" applyFont="1" applyBorder="1" applyAlignment="1">
      <alignment horizontal="center"/>
    </xf>
    <xf numFmtId="165" fontId="63" fillId="0" borderId="0" xfId="1" applyNumberFormat="1" applyFont="1"/>
    <xf numFmtId="0" fontId="5" fillId="0" borderId="0" xfId="0" applyFont="1" applyFill="1" applyBorder="1" applyAlignment="1">
      <alignment vertical="top"/>
    </xf>
    <xf numFmtId="0" fontId="63" fillId="0" borderId="0" xfId="0" applyFont="1" applyFill="1" applyAlignment="1">
      <alignment vertical="top"/>
    </xf>
    <xf numFmtId="0" fontId="63" fillId="0" borderId="0" xfId="0" applyFont="1" applyFill="1" applyAlignment="1">
      <alignment wrapText="1"/>
    </xf>
    <xf numFmtId="49" fontId="5" fillId="6" borderId="0" xfId="0" applyNumberFormat="1" applyFont="1" applyFill="1" applyAlignment="1">
      <alignment horizontal="left" vertical="top"/>
    </xf>
    <xf numFmtId="165" fontId="63" fillId="0" borderId="0" xfId="1" applyNumberFormat="1" applyFont="1" applyAlignment="1">
      <alignment horizontal="left" vertical="center"/>
    </xf>
    <xf numFmtId="0" fontId="69" fillId="0" borderId="0" xfId="0" applyFont="1"/>
    <xf numFmtId="0" fontId="3" fillId="7" borderId="0" xfId="0" applyFont="1" applyFill="1" applyAlignment="1">
      <alignment wrapText="1"/>
    </xf>
    <xf numFmtId="0" fontId="5" fillId="7" borderId="0" xfId="0" applyFont="1" applyFill="1" applyAlignment="1">
      <alignment wrapText="1"/>
    </xf>
    <xf numFmtId="0" fontId="3" fillId="7" borderId="0" xfId="0" applyFont="1" applyFill="1" applyAlignment="1">
      <alignment vertical="top" wrapText="1"/>
    </xf>
    <xf numFmtId="0" fontId="6" fillId="7" borderId="0" xfId="0" applyFont="1" applyFill="1" applyAlignment="1">
      <alignment horizontal="center" wrapText="1"/>
    </xf>
    <xf numFmtId="0" fontId="5" fillId="7" borderId="0" xfId="0" applyFont="1" applyFill="1" applyAlignment="1">
      <alignment horizontal="left" vertical="top" wrapText="1"/>
    </xf>
    <xf numFmtId="0" fontId="5" fillId="0" borderId="0" xfId="0" applyFont="1" applyFill="1" applyAlignment="1">
      <alignment horizontal="left" vertical="top"/>
    </xf>
    <xf numFmtId="0" fontId="63" fillId="0" borderId="0" xfId="0" applyFont="1" applyFill="1" applyAlignment="1"/>
    <xf numFmtId="0" fontId="70" fillId="0" borderId="0" xfId="0" applyFont="1" applyFill="1" applyAlignment="1">
      <alignment wrapText="1"/>
    </xf>
    <xf numFmtId="0" fontId="74" fillId="0" borderId="0" xfId="0" applyFont="1" applyFill="1"/>
    <xf numFmtId="0" fontId="72" fillId="0" borderId="0" xfId="0" applyFont="1" applyFill="1" applyAlignment="1">
      <alignment vertical="top"/>
    </xf>
    <xf numFmtId="0" fontId="5" fillId="0" borderId="0" xfId="0" applyFont="1" applyFill="1" applyAlignment="1">
      <alignment horizontal="justify" vertical="top" wrapText="1"/>
    </xf>
    <xf numFmtId="0" fontId="6" fillId="3" borderId="0" xfId="0" applyFont="1" applyFill="1" applyAlignment="1">
      <alignment horizontal="center" wrapText="1"/>
    </xf>
    <xf numFmtId="0" fontId="5" fillId="0" borderId="0" xfId="0" applyFont="1" applyFill="1" applyAlignment="1">
      <alignment horizontal="center"/>
    </xf>
    <xf numFmtId="0" fontId="12" fillId="0" borderId="0" xfId="3" applyFont="1" applyAlignment="1">
      <alignment horizontal="left" vertical="top" wrapText="1"/>
    </xf>
    <xf numFmtId="0" fontId="72" fillId="0" borderId="0" xfId="0" applyFont="1" applyFill="1"/>
    <xf numFmtId="0" fontId="73" fillId="0" borderId="0" xfId="0" applyFont="1" applyFill="1"/>
    <xf numFmtId="0" fontId="12" fillId="0" borderId="0" xfId="3" applyFont="1" applyAlignment="1">
      <alignment horizontal="left" vertical="top" wrapText="1"/>
    </xf>
    <xf numFmtId="0" fontId="5" fillId="0" borderId="0" xfId="5" applyFont="1" applyFill="1" applyAlignment="1">
      <alignment horizontal="left" vertical="top" wrapText="1"/>
    </xf>
    <xf numFmtId="0" fontId="63" fillId="0" borderId="0" xfId="0" applyFont="1"/>
    <xf numFmtId="0" fontId="72" fillId="0" borderId="0" xfId="0" applyFont="1"/>
    <xf numFmtId="0" fontId="72" fillId="0" borderId="0" xfId="0" applyFont="1" applyAlignment="1">
      <alignment horizontal="left" vertical="top"/>
    </xf>
    <xf numFmtId="0" fontId="1" fillId="0" borderId="0" xfId="0" applyFont="1" applyAlignment="1"/>
    <xf numFmtId="16" fontId="5" fillId="3" borderId="0" xfId="0" quotePrefix="1" applyNumberFormat="1" applyFont="1" applyFill="1" applyAlignment="1">
      <alignment horizontal="center" vertical="top" wrapText="1"/>
    </xf>
    <xf numFmtId="0" fontId="5" fillId="3" borderId="0" xfId="0" quotePrefix="1" applyFont="1" applyFill="1" applyAlignment="1">
      <alignment horizontal="center" wrapText="1"/>
    </xf>
    <xf numFmtId="0" fontId="70" fillId="0" borderId="0" xfId="0" applyFont="1"/>
    <xf numFmtId="2" fontId="5" fillId="0" borderId="0" xfId="16" applyNumberFormat="1" applyFont="1" applyFill="1" applyAlignment="1">
      <alignment horizontal="center"/>
    </xf>
    <xf numFmtId="0" fontId="5" fillId="0" borderId="0" xfId="16" applyFont="1" applyFill="1"/>
    <xf numFmtId="0" fontId="5" fillId="0" borderId="0" xfId="16" applyFont="1" applyFill="1" applyAlignment="1">
      <alignment horizontal="left"/>
    </xf>
    <xf numFmtId="0" fontId="5" fillId="0" borderId="0" xfId="16" applyFont="1" applyFill="1" applyAlignment="1">
      <alignment vertical="top"/>
    </xf>
    <xf numFmtId="0" fontId="5" fillId="0" borderId="1" xfId="16" applyFont="1" applyFill="1" applyBorder="1" applyAlignment="1">
      <alignment horizontal="left"/>
    </xf>
    <xf numFmtId="0" fontId="5" fillId="0" borderId="1" xfId="16" applyFont="1" applyFill="1" applyBorder="1" applyAlignment="1">
      <alignment vertical="top"/>
    </xf>
    <xf numFmtId="0" fontId="5" fillId="0" borderId="0" xfId="16" applyFont="1" applyFill="1" applyBorder="1"/>
    <xf numFmtId="0" fontId="5" fillId="0" borderId="0" xfId="16" applyFont="1" applyFill="1" applyBorder="1" applyAlignment="1">
      <alignment horizontal="left"/>
    </xf>
    <xf numFmtId="0" fontId="5" fillId="0" borderId="0" xfId="16" applyFont="1" applyFill="1" applyBorder="1" applyAlignment="1">
      <alignment vertical="top"/>
    </xf>
    <xf numFmtId="0" fontId="5" fillId="0" borderId="0" xfId="16" applyFont="1" applyFill="1" applyBorder="1" applyAlignment="1">
      <alignment horizontal="justify" vertical="top" wrapText="1"/>
    </xf>
    <xf numFmtId="0" fontId="5" fillId="0" borderId="0" xfId="16" applyFont="1" applyFill="1" applyBorder="1" applyAlignment="1">
      <alignment horizontal="right"/>
    </xf>
    <xf numFmtId="0" fontId="13" fillId="0" borderId="0" xfId="16" applyFont="1" applyFill="1" applyBorder="1" applyAlignment="1">
      <alignment horizontal="right"/>
    </xf>
    <xf numFmtId="0" fontId="6" fillId="0" borderId="0" xfId="16" applyFont="1" applyFill="1" applyAlignment="1">
      <alignment horizontal="center"/>
    </xf>
    <xf numFmtId="0" fontId="5" fillId="0" borderId="0" xfId="16" applyFont="1" applyFill="1" applyAlignment="1">
      <alignment horizontal="justify" vertical="top" wrapText="1"/>
    </xf>
    <xf numFmtId="0" fontId="5" fillId="0" borderId="0" xfId="16" applyFont="1" applyFill="1" applyAlignment="1">
      <alignment horizontal="right"/>
    </xf>
    <xf numFmtId="0" fontId="5" fillId="0" borderId="0" xfId="16" applyFont="1" applyFill="1" applyAlignment="1">
      <alignment horizontal="center" vertical="top" wrapText="1"/>
    </xf>
    <xf numFmtId="1" fontId="6" fillId="0" borderId="0" xfId="16" applyNumberFormat="1" applyFont="1" applyFill="1" applyBorder="1" applyAlignment="1">
      <alignment horizontal="center"/>
    </xf>
    <xf numFmtId="0" fontId="6" fillId="0" borderId="0" xfId="16" applyFont="1" applyFill="1" applyBorder="1" applyAlignment="1">
      <alignment horizontal="center"/>
    </xf>
    <xf numFmtId="2" fontId="5" fillId="0" borderId="0" xfId="16" applyNumberFormat="1" applyFont="1" applyFill="1" applyAlignment="1">
      <alignment horizontal="center" vertical="top" wrapText="1"/>
    </xf>
    <xf numFmtId="0" fontId="5" fillId="0" borderId="0" xfId="16" applyFont="1" applyFill="1" applyAlignment="1">
      <alignment horizontal="left" vertical="top" wrapText="1"/>
    </xf>
    <xf numFmtId="0" fontId="6" fillId="0" borderId="0" xfId="16" applyFont="1" applyFill="1" applyAlignment="1">
      <alignment vertical="top" wrapText="1"/>
    </xf>
    <xf numFmtId="0" fontId="5" fillId="0" borderId="0" xfId="16" applyFont="1" applyFill="1" applyAlignment="1">
      <alignment horizontal="center"/>
    </xf>
    <xf numFmtId="0" fontId="72" fillId="0" borderId="0" xfId="16" applyFont="1" applyFill="1"/>
    <xf numFmtId="0" fontId="5" fillId="3" borderId="0" xfId="0" applyFont="1" applyFill="1" applyBorder="1" applyAlignment="1">
      <alignment horizontal="center" vertical="top" wrapText="1"/>
    </xf>
    <xf numFmtId="0" fontId="18" fillId="0" borderId="0" xfId="3" applyFont="1" applyBorder="1" applyAlignment="1">
      <alignment horizontal="left" vertical="top" wrapText="1"/>
    </xf>
    <xf numFmtId="0" fontId="12" fillId="0" borderId="0" xfId="3" applyFont="1" applyBorder="1" applyAlignment="1">
      <alignment horizontal="left" vertical="top" wrapText="1"/>
    </xf>
    <xf numFmtId="0" fontId="5" fillId="0" borderId="0" xfId="0" applyFont="1" applyFill="1" applyAlignment="1">
      <alignment horizontal="justify" vertical="top" wrapText="1"/>
    </xf>
    <xf numFmtId="0" fontId="12" fillId="0" borderId="0" xfId="3" applyFont="1" applyAlignment="1">
      <alignment horizontal="left" vertical="top" wrapText="1"/>
    </xf>
    <xf numFmtId="0" fontId="70" fillId="0" borderId="0" xfId="0" applyFont="1" applyFill="1"/>
    <xf numFmtId="0" fontId="70" fillId="0" borderId="0" xfId="0" applyFont="1" applyFill="1" applyAlignment="1">
      <alignment vertical="top"/>
    </xf>
    <xf numFmtId="0" fontId="73" fillId="0" borderId="0" xfId="16" applyFont="1" applyFill="1"/>
    <xf numFmtId="0" fontId="68" fillId="0" borderId="0" xfId="0" applyFont="1" applyFill="1" applyAlignment="1">
      <alignment vertical="top"/>
    </xf>
    <xf numFmtId="0" fontId="5" fillId="7" borderId="0" xfId="16" applyFont="1" applyFill="1"/>
    <xf numFmtId="0" fontId="5" fillId="7" borderId="0" xfId="16" applyFont="1" applyFill="1" applyBorder="1"/>
    <xf numFmtId="0" fontId="71" fillId="0" borderId="0" xfId="16" applyFont="1" applyFill="1"/>
    <xf numFmtId="0" fontId="71" fillId="0" borderId="0" xfId="16" applyFont="1" applyFill="1" applyAlignment="1">
      <alignment vertical="top"/>
    </xf>
    <xf numFmtId="0" fontId="72" fillId="0" borderId="0" xfId="0" applyFont="1" applyFill="1" applyAlignment="1">
      <alignment wrapText="1"/>
    </xf>
    <xf numFmtId="0" fontId="72" fillId="0" borderId="0" xfId="0" applyFont="1" applyFill="1" applyAlignment="1"/>
    <xf numFmtId="0" fontId="72" fillId="3" borderId="0" xfId="0" applyFont="1" applyFill="1" applyAlignment="1">
      <alignment horizontal="left"/>
    </xf>
    <xf numFmtId="0" fontId="72" fillId="3" borderId="0" xfId="0" applyFont="1" applyFill="1" applyAlignment="1">
      <alignment horizontal="left" vertical="top"/>
    </xf>
    <xf numFmtId="0" fontId="74" fillId="0" borderId="0" xfId="0" applyFont="1" applyFill="1" applyAlignment="1"/>
    <xf numFmtId="0" fontId="3" fillId="0" borderId="0" xfId="0" applyFont="1" applyFill="1" applyAlignment="1">
      <alignment horizontal="left" vertical="top" wrapText="1"/>
    </xf>
    <xf numFmtId="0" fontId="63" fillId="0" borderId="0" xfId="0" applyFont="1" applyAlignment="1">
      <alignment vertical="top"/>
    </xf>
    <xf numFmtId="0" fontId="5" fillId="0" borderId="0" xfId="16" applyFont="1" applyFill="1" applyAlignment="1">
      <alignment vertical="top" wrapText="1"/>
    </xf>
    <xf numFmtId="0" fontId="12" fillId="0" borderId="0" xfId="3" applyFont="1" applyAlignment="1">
      <alignment horizontal="left" vertical="top" wrapText="1"/>
    </xf>
    <xf numFmtId="0" fontId="5" fillId="0" borderId="0" xfId="0" applyFont="1" applyFill="1" applyAlignment="1">
      <alignment horizontal="justify" vertical="top" wrapText="1"/>
    </xf>
    <xf numFmtId="0" fontId="5" fillId="7" borderId="0" xfId="0" applyFont="1" applyFill="1" applyAlignment="1">
      <alignment horizontal="left" vertical="top" wrapText="1"/>
    </xf>
    <xf numFmtId="0" fontId="5" fillId="0" borderId="0" xfId="0" applyFont="1" applyFill="1" applyAlignment="1">
      <alignment vertical="top" wrapText="1"/>
    </xf>
    <xf numFmtId="0" fontId="6" fillId="3" borderId="0" xfId="0" applyFont="1" applyFill="1" applyAlignment="1">
      <alignment horizontal="center" wrapText="1"/>
    </xf>
    <xf numFmtId="0" fontId="63" fillId="3" borderId="0" xfId="0" applyFont="1" applyFill="1" applyAlignment="1">
      <alignment horizontal="center" vertical="top" wrapText="1"/>
    </xf>
    <xf numFmtId="0" fontId="72" fillId="0" borderId="0" xfId="3" applyFont="1" applyAlignment="1">
      <alignment horizontal="left" vertical="top"/>
    </xf>
    <xf numFmtId="165" fontId="72" fillId="0" borderId="28" xfId="0" applyNumberFormat="1" applyFont="1" applyBorder="1" applyAlignment="1">
      <alignment horizontal="center"/>
    </xf>
    <xf numFmtId="165" fontId="72" fillId="0" borderId="0" xfId="0" applyNumberFormat="1" applyFont="1" applyBorder="1" applyAlignment="1">
      <alignment horizontal="center"/>
    </xf>
    <xf numFmtId="0" fontId="72" fillId="0" borderId="24" xfId="0" applyFont="1" applyBorder="1"/>
    <xf numFmtId="0" fontId="5" fillId="0" borderId="25" xfId="0" applyFont="1" applyBorder="1" applyAlignment="1">
      <alignment horizontal="center"/>
    </xf>
    <xf numFmtId="0" fontId="5" fillId="0" borderId="26" xfId="0" applyFont="1" applyBorder="1" applyAlignment="1">
      <alignment horizontal="center"/>
    </xf>
    <xf numFmtId="0" fontId="5" fillId="0" borderId="27" xfId="0" applyFont="1" applyBorder="1"/>
    <xf numFmtId="1" fontId="73" fillId="0" borderId="33" xfId="0" applyNumberFormat="1" applyFont="1" applyFill="1" applyBorder="1" applyAlignment="1">
      <alignment horizontal="center"/>
    </xf>
    <xf numFmtId="1" fontId="73" fillId="0" borderId="34" xfId="0" applyNumberFormat="1" applyFont="1" applyFill="1" applyBorder="1" applyAlignment="1">
      <alignment horizontal="center"/>
    </xf>
    <xf numFmtId="0" fontId="72" fillId="0" borderId="35" xfId="0" applyFont="1" applyBorder="1"/>
    <xf numFmtId="0" fontId="67" fillId="0" borderId="0" xfId="0" applyFont="1"/>
    <xf numFmtId="0" fontId="5" fillId="0" borderId="0" xfId="5" applyFont="1" applyFill="1" applyAlignment="1">
      <alignment wrapText="1"/>
    </xf>
    <xf numFmtId="0" fontId="0" fillId="0" borderId="0" xfId="0" applyBorder="1"/>
    <xf numFmtId="0" fontId="8" fillId="7" borderId="0" xfId="0" applyFont="1" applyFill="1"/>
    <xf numFmtId="0" fontId="76" fillId="7" borderId="0" xfId="0" applyFont="1" applyFill="1" applyAlignment="1">
      <alignment horizontal="center" vertical="top" wrapText="1"/>
    </xf>
    <xf numFmtId="0" fontId="5" fillId="7" borderId="0" xfId="5" applyFont="1" applyFill="1"/>
    <xf numFmtId="0" fontId="5" fillId="7" borderId="0" xfId="0" applyFont="1" applyFill="1"/>
    <xf numFmtId="0" fontId="54" fillId="7" borderId="0" xfId="0" applyFont="1" applyFill="1"/>
    <xf numFmtId="0" fontId="54" fillId="7" borderId="0" xfId="0" applyFont="1" applyFill="1" applyAlignment="1">
      <alignment vertical="top"/>
    </xf>
    <xf numFmtId="0" fontId="81" fillId="0" borderId="0" xfId="0" applyFont="1"/>
    <xf numFmtId="0" fontId="5" fillId="3" borderId="7" xfId="0" applyFont="1" applyFill="1" applyBorder="1" applyAlignment="1">
      <alignment horizontal="justify" vertical="top" wrapText="1"/>
    </xf>
    <xf numFmtId="0" fontId="5" fillId="0" borderId="7" xfId="0" applyFont="1" applyFill="1" applyBorder="1" applyAlignment="1">
      <alignment horizontal="justify" vertical="top" wrapText="1"/>
    </xf>
    <xf numFmtId="0" fontId="5" fillId="3" borderId="7" xfId="0" applyFont="1" applyFill="1" applyBorder="1" applyAlignment="1">
      <alignment horizontal="center" vertical="top" wrapText="1"/>
    </xf>
    <xf numFmtId="1" fontId="5" fillId="0" borderId="7" xfId="0" applyNumberFormat="1" applyFont="1" applyFill="1" applyBorder="1" applyAlignment="1">
      <alignment horizontal="center" vertical="top" wrapText="1"/>
    </xf>
    <xf numFmtId="1" fontId="5" fillId="5" borderId="7" xfId="0" applyNumberFormat="1" applyFont="1" applyFill="1" applyBorder="1" applyAlignment="1">
      <alignment horizontal="center" vertical="top" wrapText="1"/>
    </xf>
    <xf numFmtId="0" fontId="5" fillId="3" borderId="7" xfId="0" quotePrefix="1" applyNumberFormat="1" applyFont="1" applyFill="1" applyBorder="1" applyAlignment="1">
      <alignment horizontal="center" vertical="top" wrapText="1"/>
    </xf>
    <xf numFmtId="0" fontId="5" fillId="3" borderId="7" xfId="0" quotePrefix="1" applyFont="1" applyFill="1" applyBorder="1" applyAlignment="1">
      <alignment horizontal="center" vertical="top" wrapText="1"/>
    </xf>
    <xf numFmtId="0" fontId="13" fillId="3" borderId="7" xfId="0" applyFont="1" applyFill="1" applyBorder="1" applyAlignment="1">
      <alignment horizontal="center" vertical="top" wrapText="1"/>
    </xf>
    <xf numFmtId="0" fontId="5" fillId="3" borderId="7" xfId="0" applyFont="1" applyFill="1" applyBorder="1" applyAlignment="1">
      <alignment horizontal="center"/>
    </xf>
    <xf numFmtId="0" fontId="8" fillId="0" borderId="8" xfId="0" applyFont="1" applyFill="1" applyBorder="1" applyAlignment="1">
      <alignment horizontal="center" vertical="top" wrapText="1"/>
    </xf>
    <xf numFmtId="0" fontId="5" fillId="0" borderId="7" xfId="0" applyFont="1" applyFill="1" applyBorder="1" applyAlignment="1">
      <alignment horizontal="justify" vertical="top" wrapText="1"/>
    </xf>
    <xf numFmtId="0" fontId="5" fillId="0" borderId="7" xfId="0" applyFont="1" applyFill="1" applyBorder="1" applyAlignment="1">
      <alignment horizontal="left" vertical="top" wrapText="1"/>
    </xf>
    <xf numFmtId="0" fontId="5" fillId="0" borderId="0" xfId="0" applyFont="1" applyFill="1" applyAlignment="1">
      <alignment horizontal="justify" vertical="top" wrapText="1"/>
    </xf>
    <xf numFmtId="0" fontId="5" fillId="0" borderId="0" xfId="0" applyFont="1" applyFill="1" applyAlignment="1">
      <alignment horizontal="left" vertical="top" wrapText="1"/>
    </xf>
    <xf numFmtId="0" fontId="5" fillId="11" borderId="0" xfId="0" applyFont="1" applyFill="1" applyAlignment="1">
      <alignment horizontal="justify" vertical="top" wrapText="1"/>
    </xf>
    <xf numFmtId="0" fontId="72" fillId="0" borderId="0" xfId="0" applyFont="1" applyFill="1" applyAlignment="1">
      <alignment horizontal="center" vertical="top" wrapText="1"/>
    </xf>
    <xf numFmtId="0" fontId="6" fillId="12" borderId="0" xfId="0" applyFont="1" applyFill="1" applyBorder="1" applyAlignment="1">
      <alignment vertical="top" wrapText="1"/>
    </xf>
    <xf numFmtId="165" fontId="63" fillId="0" borderId="0" xfId="1" applyNumberFormat="1" applyFont="1" applyFill="1"/>
    <xf numFmtId="0" fontId="63" fillId="0" borderId="0" xfId="16" applyFont="1" applyFill="1"/>
    <xf numFmtId="0" fontId="14" fillId="11" borderId="0" xfId="0" applyFont="1" applyFill="1" applyAlignment="1">
      <alignment horizontal="left" vertical="top"/>
    </xf>
    <xf numFmtId="0" fontId="3" fillId="11" borderId="0" xfId="0" applyFont="1" applyFill="1"/>
    <xf numFmtId="0" fontId="14" fillId="11" borderId="1" xfId="0" applyFont="1" applyFill="1" applyBorder="1" applyAlignment="1">
      <alignment horizontal="left" vertical="top"/>
    </xf>
    <xf numFmtId="0" fontId="9" fillId="11" borderId="1" xfId="0" quotePrefix="1" applyFont="1" applyFill="1" applyBorder="1" applyAlignment="1">
      <alignment horizontal="left"/>
    </xf>
    <xf numFmtId="0" fontId="9" fillId="11" borderId="0" xfId="0" quotePrefix="1" applyFont="1" applyFill="1" applyBorder="1" applyAlignment="1">
      <alignment horizontal="left" vertical="top" wrapText="1"/>
    </xf>
    <xf numFmtId="0" fontId="9" fillId="11" borderId="0" xfId="0" quotePrefix="1" applyFont="1" applyFill="1" applyBorder="1" applyAlignment="1">
      <alignment horizontal="left"/>
    </xf>
    <xf numFmtId="0" fontId="24" fillId="11" borderId="0" xfId="0" applyFont="1" applyFill="1" applyBorder="1" applyAlignment="1">
      <alignment horizontal="center" vertical="top" wrapText="1"/>
    </xf>
    <xf numFmtId="0" fontId="5" fillId="11" borderId="0" xfId="0" applyFont="1" applyFill="1" applyAlignment="1">
      <alignment horizontal="center" vertical="top" wrapText="1"/>
    </xf>
    <xf numFmtId="0" fontId="5" fillId="11" borderId="0" xfId="5" applyFont="1" applyFill="1"/>
    <xf numFmtId="0" fontId="4" fillId="11" borderId="0" xfId="0" applyFont="1" applyFill="1" applyAlignment="1">
      <alignment vertical="top"/>
    </xf>
    <xf numFmtId="0" fontId="6" fillId="11" borderId="0" xfId="0" applyFont="1" applyFill="1" applyAlignment="1">
      <alignment horizontal="right"/>
    </xf>
    <xf numFmtId="0" fontId="14" fillId="11" borderId="0" xfId="0" applyFont="1" applyFill="1"/>
    <xf numFmtId="0" fontId="24" fillId="11" borderId="0" xfId="0" applyFont="1" applyFill="1" applyAlignment="1">
      <alignment horizontal="center" vertical="top"/>
    </xf>
    <xf numFmtId="0" fontId="3" fillId="11" borderId="0" xfId="0" applyFont="1" applyFill="1" applyBorder="1"/>
    <xf numFmtId="0" fontId="14" fillId="11" borderId="1" xfId="0" quotePrefix="1" applyFont="1" applyFill="1" applyBorder="1" applyAlignment="1">
      <alignment horizontal="left"/>
    </xf>
    <xf numFmtId="0" fontId="16" fillId="11" borderId="1" xfId="0" applyFont="1" applyFill="1" applyBorder="1"/>
    <xf numFmtId="0" fontId="24" fillId="11" borderId="1" xfId="0" applyFont="1" applyFill="1" applyBorder="1" applyAlignment="1">
      <alignment horizontal="center" vertical="top"/>
    </xf>
    <xf numFmtId="0" fontId="10" fillId="11" borderId="1" xfId="0" applyFont="1" applyFill="1" applyBorder="1" applyAlignment="1">
      <alignment horizontal="right"/>
    </xf>
    <xf numFmtId="0" fontId="16" fillId="11" borderId="0" xfId="0" applyFont="1" applyFill="1"/>
    <xf numFmtId="0" fontId="16" fillId="11" borderId="0" xfId="0" applyFont="1" applyFill="1" applyBorder="1"/>
    <xf numFmtId="0" fontId="10" fillId="11" borderId="0" xfId="0" applyFont="1" applyFill="1" applyBorder="1" applyAlignment="1">
      <alignment horizontal="right"/>
    </xf>
    <xf numFmtId="0" fontId="5" fillId="11" borderId="0" xfId="0" applyFont="1" applyFill="1"/>
    <xf numFmtId="0" fontId="0" fillId="11" borderId="0" xfId="0" applyFill="1"/>
    <xf numFmtId="0" fontId="5" fillId="11" borderId="0" xfId="0" applyFont="1" applyFill="1" applyBorder="1"/>
    <xf numFmtId="0" fontId="5" fillId="11" borderId="0" xfId="16" applyFont="1" applyFill="1"/>
    <xf numFmtId="0" fontId="14" fillId="0" borderId="1" xfId="0" applyFont="1" applyFill="1" applyBorder="1" applyAlignment="1"/>
    <xf numFmtId="0" fontId="52" fillId="0" borderId="0" xfId="5" applyFont="1" applyFill="1" applyAlignment="1">
      <alignment horizontal="right"/>
    </xf>
    <xf numFmtId="0" fontId="12" fillId="0" borderId="0" xfId="3" applyFont="1" applyAlignment="1">
      <alignment horizontal="left" vertical="top" wrapText="1"/>
    </xf>
    <xf numFmtId="165" fontId="71" fillId="0" borderId="0" xfId="1" applyNumberFormat="1" applyFont="1"/>
    <xf numFmtId="1" fontId="71" fillId="0" borderId="0" xfId="16" applyNumberFormat="1" applyFont="1" applyFill="1" applyBorder="1" applyAlignment="1">
      <alignment horizontal="center"/>
    </xf>
    <xf numFmtId="0" fontId="63" fillId="0" borderId="0" xfId="3" applyFont="1" applyFill="1" applyAlignment="1">
      <alignment horizontal="left" vertical="top" wrapText="1"/>
    </xf>
    <xf numFmtId="0" fontId="83" fillId="0" borderId="0" xfId="0" applyFont="1"/>
    <xf numFmtId="0" fontId="1" fillId="8" borderId="0" xfId="0" applyFont="1" applyFill="1" applyBorder="1"/>
    <xf numFmtId="0" fontId="67" fillId="0" borderId="0" xfId="0" applyFont="1" applyBorder="1" applyAlignment="1">
      <alignment vertical="top"/>
    </xf>
    <xf numFmtId="0" fontId="71" fillId="0" borderId="0" xfId="0" applyFont="1" applyFill="1" applyAlignment="1">
      <alignment horizontal="justify" vertical="top" wrapText="1"/>
    </xf>
    <xf numFmtId="0" fontId="12" fillId="0" borderId="0" xfId="3" applyFont="1" applyAlignment="1">
      <alignment horizontal="left" vertical="top" wrapText="1"/>
    </xf>
    <xf numFmtId="0" fontId="3" fillId="0" borderId="0" xfId="0" quotePrefix="1" applyFont="1" applyFill="1" applyBorder="1" applyAlignment="1">
      <alignment horizontal="right"/>
    </xf>
    <xf numFmtId="41" fontId="4" fillId="0" borderId="0" xfId="0" quotePrefix="1" applyNumberFormat="1" applyFont="1" applyFill="1" applyBorder="1" applyAlignment="1">
      <alignment horizontal="right"/>
    </xf>
    <xf numFmtId="41" fontId="3" fillId="0" borderId="0" xfId="0" quotePrefix="1" applyNumberFormat="1" applyFont="1" applyFill="1" applyBorder="1" applyAlignment="1">
      <alignment horizontal="right"/>
    </xf>
    <xf numFmtId="0" fontId="72" fillId="0" borderId="0" xfId="16" applyFont="1" applyFill="1" applyBorder="1"/>
    <xf numFmtId="0" fontId="71" fillId="0" borderId="0" xfId="16" applyFont="1" applyFill="1" applyAlignment="1">
      <alignment horizontal="left" wrapText="1"/>
    </xf>
    <xf numFmtId="0" fontId="5" fillId="0" borderId="0" xfId="0" applyFont="1" applyFill="1" applyAlignment="1">
      <alignment horizontal="justify" vertical="top" wrapText="1"/>
    </xf>
    <xf numFmtId="0" fontId="72" fillId="0" borderId="0" xfId="0" applyFont="1" applyFill="1" applyAlignment="1">
      <alignment vertical="top" wrapText="1"/>
    </xf>
    <xf numFmtId="0" fontId="73" fillId="0" borderId="0" xfId="0" applyFont="1" applyFill="1" applyAlignment="1">
      <alignment horizontal="center"/>
    </xf>
    <xf numFmtId="0" fontId="72" fillId="0" borderId="0" xfId="0" applyFont="1" applyFill="1" applyAlignment="1">
      <alignment horizontal="center"/>
    </xf>
    <xf numFmtId="0" fontId="12" fillId="0" borderId="0" xfId="3" applyFont="1" applyAlignment="1">
      <alignment horizontal="left" vertical="top" wrapText="1"/>
    </xf>
    <xf numFmtId="0" fontId="5" fillId="0" borderId="0" xfId="16" applyFont="1" applyFill="1"/>
    <xf numFmtId="0" fontId="5" fillId="0" borderId="0" xfId="16" applyFont="1" applyFill="1" applyBorder="1"/>
    <xf numFmtId="0" fontId="5" fillId="0" borderId="0" xfId="16" applyFont="1" applyFill="1" applyBorder="1" applyAlignment="1">
      <alignment horizontal="left"/>
    </xf>
    <xf numFmtId="0" fontId="5" fillId="11" borderId="0" xfId="16" applyFont="1" applyFill="1" applyBorder="1"/>
    <xf numFmtId="0" fontId="3" fillId="0" borderId="0" xfId="16" applyFont="1" applyFill="1"/>
    <xf numFmtId="0" fontId="5" fillId="0" borderId="0" xfId="16" applyFont="1"/>
    <xf numFmtId="0" fontId="5" fillId="0" borderId="0" xfId="16" applyFont="1" applyAlignment="1">
      <alignment horizontal="center"/>
    </xf>
    <xf numFmtId="0" fontId="3" fillId="0" borderId="1" xfId="16" applyFont="1" applyFill="1" applyBorder="1"/>
    <xf numFmtId="0" fontId="6" fillId="0" borderId="0" xfId="16" applyFont="1" applyFill="1" applyBorder="1"/>
    <xf numFmtId="0" fontId="12" fillId="0" borderId="0" xfId="3" applyFont="1" applyAlignment="1">
      <alignment horizontal="justify" vertical="top" wrapText="1"/>
    </xf>
    <xf numFmtId="0" fontId="6" fillId="0" borderId="0" xfId="16" quotePrefix="1" applyFont="1" applyAlignment="1">
      <alignment horizontal="center"/>
    </xf>
    <xf numFmtId="0" fontId="14" fillId="0" borderId="0" xfId="16" applyFont="1" applyFill="1"/>
    <xf numFmtId="0" fontId="14" fillId="0" borderId="1" xfId="16" applyFont="1" applyBorder="1" applyAlignment="1">
      <alignment horizontal="left"/>
    </xf>
    <xf numFmtId="0" fontId="5" fillId="3" borderId="0" xfId="16" applyFont="1" applyFill="1" applyAlignment="1">
      <alignment horizontal="center" vertical="top" wrapText="1"/>
    </xf>
    <xf numFmtId="0" fontId="5" fillId="3" borderId="0" xfId="16" applyFont="1" applyFill="1"/>
    <xf numFmtId="0" fontId="6" fillId="3" borderId="0" xfId="16" applyFont="1" applyFill="1" applyAlignment="1">
      <alignment horizontal="center"/>
    </xf>
    <xf numFmtId="2" fontId="5" fillId="3" borderId="0" xfId="16" applyNumberFormat="1" applyFont="1" applyFill="1" applyAlignment="1">
      <alignment horizontal="center" vertical="top" wrapText="1"/>
    </xf>
    <xf numFmtId="0" fontId="12" fillId="0" borderId="0" xfId="3" applyFont="1" applyAlignment="1">
      <alignment vertical="top" wrapText="1"/>
    </xf>
    <xf numFmtId="0" fontId="5" fillId="4" borderId="0" xfId="16" applyFont="1" applyFill="1"/>
    <xf numFmtId="0" fontId="5" fillId="4" borderId="0" xfId="16" applyFont="1" applyFill="1" applyAlignment="1">
      <alignment horizontal="center"/>
    </xf>
    <xf numFmtId="2" fontId="5" fillId="0" borderId="0" xfId="16" applyNumberFormat="1" applyFont="1" applyFill="1" applyAlignment="1">
      <alignment horizontal="center"/>
    </xf>
    <xf numFmtId="0" fontId="5" fillId="0" borderId="0" xfId="16" applyFont="1" applyFill="1"/>
    <xf numFmtId="0" fontId="5" fillId="0" borderId="0" xfId="16" applyFont="1" applyFill="1" applyAlignment="1">
      <alignment horizontal="left"/>
    </xf>
    <xf numFmtId="0" fontId="5" fillId="0" borderId="0" xfId="16" applyFont="1" applyFill="1" applyBorder="1"/>
    <xf numFmtId="0" fontId="6" fillId="0" borderId="0" xfId="16" applyFont="1" applyFill="1"/>
    <xf numFmtId="0" fontId="87" fillId="0" borderId="0" xfId="16" applyFont="1" applyAlignment="1">
      <alignment horizontal="left" vertical="center" readingOrder="1"/>
    </xf>
    <xf numFmtId="0" fontId="24" fillId="0" borderId="0" xfId="16" applyFont="1" applyFill="1" applyAlignment="1">
      <alignment vertical="top"/>
    </xf>
    <xf numFmtId="0" fontId="24" fillId="0" borderId="1" xfId="16" applyFont="1" applyFill="1" applyBorder="1" applyAlignment="1">
      <alignment vertical="top"/>
    </xf>
    <xf numFmtId="0" fontId="88" fillId="0" borderId="0" xfId="16" applyFont="1" applyAlignment="1">
      <alignment horizontal="left" vertical="center" readingOrder="1"/>
    </xf>
    <xf numFmtId="0" fontId="72" fillId="0" borderId="0" xfId="16" applyFont="1" applyFill="1" applyAlignment="1">
      <alignment wrapText="1"/>
    </xf>
    <xf numFmtId="0" fontId="5" fillId="0" borderId="0" xfId="0" applyFont="1" applyFill="1" applyAlignment="1">
      <alignment horizontal="justify" vertical="top" wrapText="1"/>
    </xf>
    <xf numFmtId="0" fontId="91" fillId="0" borderId="0" xfId="0" applyFont="1"/>
    <xf numFmtId="0" fontId="5" fillId="7" borderId="0" xfId="0" applyFont="1" applyFill="1" applyAlignment="1">
      <alignment horizontal="justify" vertical="top" wrapText="1"/>
    </xf>
    <xf numFmtId="0" fontId="3" fillId="7" borderId="0" xfId="0" applyFont="1" applyFill="1"/>
    <xf numFmtId="0" fontId="21" fillId="0" borderId="0" xfId="0" applyFont="1" applyAlignment="1">
      <alignment vertical="top"/>
    </xf>
    <xf numFmtId="0" fontId="92" fillId="0" borderId="0" xfId="16" applyFont="1" applyAlignment="1">
      <alignment horizontal="left" vertical="center" readingOrder="1"/>
    </xf>
    <xf numFmtId="0" fontId="93" fillId="0" borderId="0" xfId="0" applyFont="1"/>
    <xf numFmtId="0" fontId="94" fillId="7" borderId="0" xfId="0" applyFont="1" applyFill="1"/>
    <xf numFmtId="0" fontId="95" fillId="7" borderId="0" xfId="0" applyFont="1" applyFill="1"/>
    <xf numFmtId="0" fontId="6" fillId="0" borderId="0" xfId="16" applyFont="1" applyFill="1" applyAlignment="1">
      <alignment wrapText="1"/>
    </xf>
    <xf numFmtId="0" fontId="74" fillId="0" borderId="0" xfId="0" applyFont="1" applyFill="1" applyBorder="1"/>
    <xf numFmtId="0" fontId="6" fillId="0" borderId="1" xfId="0" applyFont="1" applyBorder="1" applyAlignment="1">
      <alignment horizontal="left" vertical="top"/>
    </xf>
    <xf numFmtId="0" fontId="89" fillId="0" borderId="0" xfId="0" applyFont="1" applyAlignment="1">
      <alignment vertical="center"/>
    </xf>
    <xf numFmtId="0" fontId="5" fillId="0" borderId="0" xfId="0" applyFont="1" applyAlignment="1"/>
    <xf numFmtId="0" fontId="74" fillId="0" borderId="0" xfId="0" applyFont="1"/>
    <xf numFmtId="0" fontId="97" fillId="0" borderId="0" xfId="0" applyFont="1" applyFill="1" applyAlignment="1">
      <alignment horizontal="left" vertical="top"/>
    </xf>
    <xf numFmtId="164" fontId="81" fillId="0" borderId="0" xfId="1" applyNumberFormat="1" applyFont="1" applyFill="1" applyAlignment="1">
      <alignment horizontal="right"/>
    </xf>
    <xf numFmtId="37" fontId="81" fillId="0" borderId="0" xfId="0" applyNumberFormat="1" applyFont="1" applyFill="1" applyAlignment="1">
      <alignment horizontal="center"/>
    </xf>
    <xf numFmtId="37" fontId="74" fillId="0" borderId="0" xfId="0" applyNumberFormat="1" applyFont="1" applyFill="1" applyAlignment="1">
      <alignment horizontal="center"/>
    </xf>
    <xf numFmtId="164" fontId="74" fillId="0" borderId="0" xfId="0" applyNumberFormat="1" applyFont="1" applyFill="1"/>
    <xf numFmtId="164" fontId="74" fillId="0" borderId="0" xfId="1" applyNumberFormat="1" applyFont="1" applyFill="1" applyAlignment="1">
      <alignment horizontal="right"/>
    </xf>
    <xf numFmtId="0" fontId="6" fillId="0" borderId="1" xfId="0" applyFont="1" applyFill="1" applyBorder="1" applyAlignment="1">
      <alignment horizontal="center"/>
    </xf>
    <xf numFmtId="0" fontId="86" fillId="9" borderId="0" xfId="0" applyFont="1" applyFill="1" applyAlignment="1">
      <alignment horizontal="center" vertical="top" wrapText="1"/>
    </xf>
    <xf numFmtId="0" fontId="13" fillId="0" borderId="0" xfId="0" applyFont="1" applyAlignment="1">
      <alignment vertical="top" wrapText="1"/>
    </xf>
    <xf numFmtId="0" fontId="79" fillId="0" borderId="0" xfId="0" applyFont="1" applyAlignment="1">
      <alignment vertical="top" wrapText="1"/>
    </xf>
    <xf numFmtId="0" fontId="5" fillId="3" borderId="0" xfId="0" applyFont="1" applyFill="1" applyAlignment="1">
      <alignment horizontal="center" vertical="top" wrapText="1"/>
    </xf>
    <xf numFmtId="0" fontId="5" fillId="0" borderId="0" xfId="16" applyFont="1" applyFill="1" applyAlignment="1">
      <alignment horizontal="center" vertical="center"/>
    </xf>
    <xf numFmtId="0" fontId="86" fillId="0" borderId="0" xfId="0" applyFont="1" applyFill="1" applyAlignment="1">
      <alignment vertical="top" wrapText="1"/>
    </xf>
    <xf numFmtId="0" fontId="86" fillId="0" borderId="0" xfId="0" applyFont="1" applyFill="1" applyBorder="1" applyAlignment="1">
      <alignment vertical="top" wrapText="1"/>
    </xf>
    <xf numFmtId="0" fontId="86" fillId="0" borderId="0" xfId="0" applyFont="1" applyFill="1" applyBorder="1" applyAlignment="1">
      <alignment horizontal="center" vertical="top" wrapText="1"/>
    </xf>
    <xf numFmtId="0" fontId="72" fillId="0" borderId="0" xfId="5" applyFont="1" applyFill="1"/>
    <xf numFmtId="0" fontId="5" fillId="0" borderId="0" xfId="0" applyFont="1" applyAlignment="1">
      <alignment horizontal="left" wrapText="1"/>
    </xf>
    <xf numFmtId="0" fontId="5" fillId="0" borderId="7" xfId="0" applyFont="1" applyFill="1" applyBorder="1" applyAlignment="1">
      <alignment horizontal="justify" vertical="top" wrapText="1"/>
    </xf>
    <xf numFmtId="0" fontId="6" fillId="0" borderId="7" xfId="0" applyFont="1" applyFill="1" applyBorder="1" applyAlignment="1">
      <alignment horizontal="justify" vertical="top" wrapText="1"/>
    </xf>
    <xf numFmtId="0" fontId="5" fillId="3" borderId="0" xfId="0" applyFont="1" applyFill="1" applyAlignment="1">
      <alignment horizontal="center" vertical="top" wrapText="1"/>
    </xf>
    <xf numFmtId="0" fontId="5" fillId="0" borderId="0" xfId="0" applyFont="1" applyFill="1" applyAlignment="1">
      <alignment horizontal="justify" vertical="top" wrapText="1"/>
    </xf>
    <xf numFmtId="164" fontId="62" fillId="0" borderId="0" xfId="0" applyNumberFormat="1" applyFont="1" applyBorder="1" applyAlignment="1">
      <alignment horizontal="center"/>
    </xf>
    <xf numFmtId="0" fontId="5" fillId="0" borderId="0" xfId="0" applyFont="1" applyAlignment="1">
      <alignment vertical="center"/>
    </xf>
    <xf numFmtId="0" fontId="5" fillId="0" borderId="7" xfId="0" applyFont="1" applyFill="1" applyBorder="1" applyAlignment="1">
      <alignment horizontal="right" vertical="top" wrapText="1"/>
    </xf>
    <xf numFmtId="0" fontId="5" fillId="0" borderId="7" xfId="0" applyFont="1" applyFill="1" applyBorder="1" applyAlignment="1">
      <alignment vertical="top" wrapText="1"/>
    </xf>
    <xf numFmtId="2" fontId="5" fillId="0" borderId="7" xfId="0" applyNumberFormat="1" applyFont="1" applyFill="1" applyBorder="1" applyAlignment="1">
      <alignment horizontal="right" vertical="top" wrapText="1"/>
    </xf>
    <xf numFmtId="0" fontId="5" fillId="3" borderId="0" xfId="0" applyFont="1" applyFill="1" applyAlignment="1">
      <alignment horizontal="center" vertical="top" wrapText="1"/>
    </xf>
    <xf numFmtId="0" fontId="5" fillId="0" borderId="0" xfId="0" applyFont="1" applyFill="1" applyAlignment="1">
      <alignment horizontal="left"/>
    </xf>
    <xf numFmtId="0" fontId="8" fillId="0" borderId="0" xfId="0" applyFont="1" applyAlignment="1">
      <alignment vertical="top" wrapText="1"/>
    </xf>
    <xf numFmtId="0" fontId="72" fillId="0" borderId="0" xfId="0" applyFont="1" applyFill="1" applyAlignment="1">
      <alignment horizontal="left" vertical="center" wrapText="1"/>
    </xf>
    <xf numFmtId="0" fontId="72" fillId="0" borderId="0" xfId="0" applyFont="1" applyFill="1" applyAlignment="1">
      <alignment horizontal="left" vertical="top"/>
    </xf>
    <xf numFmtId="0" fontId="22" fillId="0" borderId="0" xfId="0" applyFont="1" applyFill="1" applyAlignment="1">
      <alignment horizontal="left" vertical="top"/>
    </xf>
    <xf numFmtId="0" fontId="9" fillId="0" borderId="1" xfId="0" applyFont="1" applyFill="1" applyBorder="1" applyAlignment="1">
      <alignment horizontal="left" vertical="top"/>
    </xf>
    <xf numFmtId="0" fontId="9" fillId="0" borderId="0" xfId="0" applyFont="1" applyFill="1" applyAlignment="1">
      <alignment horizontal="left" vertical="top"/>
    </xf>
    <xf numFmtId="0" fontId="5" fillId="0" borderId="1" xfId="0" applyFont="1" applyFill="1" applyBorder="1" applyAlignment="1"/>
    <xf numFmtId="0" fontId="24" fillId="0" borderId="1" xfId="0" applyFont="1" applyFill="1" applyBorder="1" applyAlignment="1">
      <alignment vertical="top"/>
    </xf>
    <xf numFmtId="0" fontId="24" fillId="0" borderId="0" xfId="0" applyFont="1" applyFill="1" applyAlignment="1">
      <alignment vertical="top"/>
    </xf>
    <xf numFmtId="0" fontId="24" fillId="0" borderId="0" xfId="0" applyFont="1" applyFill="1" applyAlignment="1">
      <alignment horizontal="left" vertical="top"/>
    </xf>
    <xf numFmtId="0" fontId="24" fillId="0" borderId="0" xfId="0" applyFont="1" applyFill="1" applyAlignment="1">
      <alignment horizontal="center" vertical="center"/>
    </xf>
    <xf numFmtId="0" fontId="24" fillId="0" borderId="1" xfId="0" applyFont="1" applyFill="1" applyBorder="1" applyAlignment="1">
      <alignment horizontal="center" vertical="center"/>
    </xf>
    <xf numFmtId="0" fontId="89" fillId="0" borderId="0" xfId="0" applyFont="1" applyAlignment="1">
      <alignment vertical="top"/>
    </xf>
    <xf numFmtId="0" fontId="5" fillId="3" borderId="0" xfId="0" applyFont="1" applyFill="1" applyAlignment="1">
      <alignment horizontal="center" vertical="top" wrapText="1"/>
    </xf>
    <xf numFmtId="0" fontId="44" fillId="0" borderId="0" xfId="0" applyFont="1" applyBorder="1" applyAlignment="1">
      <alignment vertical="top" wrapText="1"/>
    </xf>
    <xf numFmtId="0" fontId="5" fillId="0" borderId="0" xfId="0" applyFont="1" applyFill="1" applyAlignment="1">
      <alignment horizontal="left" vertical="top" wrapText="1"/>
    </xf>
    <xf numFmtId="0" fontId="72" fillId="0" borderId="0" xfId="0" applyFont="1" applyFill="1" applyBorder="1" applyAlignment="1">
      <alignment horizontal="center" vertical="top" wrapText="1"/>
    </xf>
    <xf numFmtId="0" fontId="5" fillId="3" borderId="0" xfId="0" applyFont="1" applyFill="1" applyAlignment="1">
      <alignment horizontal="center" vertical="top" wrapText="1"/>
    </xf>
    <xf numFmtId="0" fontId="5" fillId="0" borderId="0" xfId="0" applyFont="1" applyAlignment="1">
      <alignment vertical="top" wrapText="1"/>
    </xf>
    <xf numFmtId="0" fontId="24" fillId="0" borderId="0" xfId="0" applyFont="1" applyFill="1" applyBorder="1" applyAlignment="1">
      <alignment vertical="top"/>
    </xf>
    <xf numFmtId="0" fontId="24" fillId="0" borderId="0" xfId="0" applyFont="1" applyFill="1" applyBorder="1" applyAlignment="1">
      <alignment horizontal="center" vertical="center"/>
    </xf>
    <xf numFmtId="0" fontId="24" fillId="11" borderId="1" xfId="0" applyFont="1" applyFill="1" applyBorder="1" applyAlignment="1">
      <alignment vertical="top" wrapText="1"/>
    </xf>
    <xf numFmtId="0" fontId="24" fillId="11" borderId="0" xfId="0" applyFont="1" applyFill="1" applyAlignment="1">
      <alignment vertical="top" wrapText="1"/>
    </xf>
    <xf numFmtId="0" fontId="24" fillId="11" borderId="0" xfId="0" applyFont="1" applyFill="1" applyAlignment="1">
      <alignment horizontal="center" vertical="center"/>
    </xf>
    <xf numFmtId="0" fontId="24" fillId="11" borderId="1" xfId="0" applyFont="1" applyFill="1" applyBorder="1" applyAlignment="1">
      <alignment horizontal="center" vertical="center"/>
    </xf>
    <xf numFmtId="0" fontId="7" fillId="0" borderId="0" xfId="0" applyFont="1" applyAlignment="1">
      <alignment vertical="top" wrapText="1"/>
    </xf>
    <xf numFmtId="0" fontId="3" fillId="8" borderId="0" xfId="0" applyFont="1" applyFill="1"/>
    <xf numFmtId="0" fontId="67" fillId="6" borderId="0" xfId="0" applyFont="1" applyFill="1" applyBorder="1" applyAlignment="1">
      <alignment vertical="top"/>
    </xf>
    <xf numFmtId="0" fontId="1" fillId="6" borderId="0" xfId="0" applyFont="1" applyFill="1"/>
    <xf numFmtId="0" fontId="67" fillId="8" borderId="0" xfId="0" applyFont="1" applyFill="1" applyBorder="1" applyAlignment="1">
      <alignment vertical="top"/>
    </xf>
    <xf numFmtId="0" fontId="5" fillId="0" borderId="0" xfId="0" applyFont="1" applyAlignment="1">
      <alignment horizontal="right" vertical="top"/>
    </xf>
    <xf numFmtId="0" fontId="101" fillId="0" borderId="0" xfId="0" applyFont="1" applyAlignment="1">
      <alignment vertical="center"/>
    </xf>
    <xf numFmtId="0" fontId="5" fillId="0" borderId="7" xfId="0" applyFont="1" applyFill="1" applyBorder="1" applyAlignment="1">
      <alignment horizontal="justify" vertical="top" wrapText="1"/>
    </xf>
    <xf numFmtId="0" fontId="6" fillId="0" borderId="7" xfId="0" applyFont="1" applyFill="1" applyBorder="1" applyAlignment="1">
      <alignment horizontal="justify" vertical="top" wrapText="1"/>
    </xf>
    <xf numFmtId="0" fontId="5" fillId="0" borderId="0" xfId="0" applyFont="1" applyAlignment="1">
      <alignment vertical="center" wrapText="1"/>
    </xf>
    <xf numFmtId="0" fontId="94" fillId="0" borderId="0" xfId="16" applyFont="1" applyFill="1"/>
    <xf numFmtId="0" fontId="102" fillId="0" borderId="0" xfId="16" applyFont="1" applyFill="1"/>
    <xf numFmtId="0" fontId="103" fillId="0" borderId="0" xfId="2" applyFont="1" applyAlignment="1" applyProtection="1"/>
    <xf numFmtId="0" fontId="105" fillId="0" borderId="0" xfId="5" applyFont="1" applyFill="1" applyAlignment="1">
      <alignment vertical="top"/>
    </xf>
    <xf numFmtId="0" fontId="49" fillId="6" borderId="0" xfId="0" applyFont="1" applyFill="1"/>
    <xf numFmtId="0" fontId="100" fillId="0" borderId="0" xfId="0" applyFont="1" applyFill="1" applyAlignment="1">
      <alignment horizontal="center" vertical="top" wrapText="1"/>
    </xf>
    <xf numFmtId="0" fontId="96" fillId="0" borderId="0" xfId="0" applyFont="1" applyFill="1" applyAlignment="1">
      <alignment horizontal="center" vertical="top"/>
    </xf>
    <xf numFmtId="0" fontId="21" fillId="0" borderId="0" xfId="0" applyFont="1" applyFill="1" applyAlignment="1">
      <alignment horizontal="left" vertical="top" wrapText="1"/>
    </xf>
    <xf numFmtId="0" fontId="74" fillId="0" borderId="0" xfId="0" applyFont="1" applyFill="1" applyAlignment="1">
      <alignment wrapText="1"/>
    </xf>
    <xf numFmtId="164" fontId="81" fillId="0" borderId="0" xfId="1" applyNumberFormat="1" applyFont="1" applyFill="1" applyAlignment="1">
      <alignment horizontal="left" vertical="top"/>
    </xf>
    <xf numFmtId="164" fontId="81" fillId="0" borderId="0" xfId="1" applyNumberFormat="1" applyFont="1" applyFill="1" applyAlignment="1">
      <alignment horizontal="left" wrapText="1"/>
    </xf>
    <xf numFmtId="164" fontId="106" fillId="0" borderId="0" xfId="1" applyNumberFormat="1" applyFont="1" applyFill="1" applyAlignment="1">
      <alignment horizontal="left" vertical="top"/>
    </xf>
    <xf numFmtId="0" fontId="21" fillId="0" borderId="0" xfId="0" applyFont="1" applyAlignment="1">
      <alignment horizontal="left" vertical="top" wrapText="1"/>
    </xf>
    <xf numFmtId="0" fontId="83" fillId="0" borderId="0" xfId="0" applyFont="1" applyAlignment="1">
      <alignment horizontal="left"/>
    </xf>
    <xf numFmtId="0" fontId="82" fillId="0" borderId="0" xfId="0" applyFont="1" applyFill="1" applyBorder="1" applyAlignment="1">
      <alignment horizontal="right" vertical="top"/>
    </xf>
    <xf numFmtId="0" fontId="72" fillId="0" borderId="0" xfId="0" applyFont="1" applyFill="1" applyBorder="1" applyAlignment="1">
      <alignment horizontal="center" vertical="top" wrapText="1"/>
    </xf>
    <xf numFmtId="0" fontId="5" fillId="3" borderId="0" xfId="0" applyFont="1" applyFill="1" applyAlignment="1">
      <alignment horizontal="center" vertical="top" wrapText="1"/>
    </xf>
    <xf numFmtId="0" fontId="5" fillId="0" borderId="0" xfId="16" applyFont="1" applyFill="1" applyAlignment="1">
      <alignment horizontal="left" vertical="top" wrapText="1"/>
    </xf>
    <xf numFmtId="0" fontId="21" fillId="0" borderId="0" xfId="16" applyFont="1" applyFill="1" applyAlignment="1">
      <alignment horizontal="center" vertical="top" wrapText="1"/>
    </xf>
    <xf numFmtId="0" fontId="107" fillId="0" borderId="0" xfId="16" applyFont="1" applyFill="1"/>
    <xf numFmtId="0" fontId="5" fillId="3" borderId="0" xfId="0" applyFont="1" applyFill="1" applyAlignment="1">
      <alignment horizontal="center" vertical="top" wrapText="1"/>
    </xf>
    <xf numFmtId="0" fontId="5" fillId="0" borderId="0" xfId="0" applyFont="1" applyFill="1" applyAlignment="1">
      <alignment horizontal="justify" vertical="top" wrapText="1"/>
    </xf>
    <xf numFmtId="164" fontId="5" fillId="11" borderId="0" xfId="1" applyNumberFormat="1" applyFont="1" applyFill="1" applyBorder="1" applyAlignment="1">
      <alignment horizontal="right"/>
    </xf>
    <xf numFmtId="0" fontId="74" fillId="7" borderId="0" xfId="0" applyFont="1" applyFill="1"/>
    <xf numFmtId="0" fontId="6" fillId="0" borderId="6" xfId="0" applyFont="1" applyFill="1" applyBorder="1"/>
    <xf numFmtId="0" fontId="6" fillId="0" borderId="0" xfId="0" applyFont="1" applyFill="1" applyBorder="1"/>
    <xf numFmtId="6" fontId="81" fillId="0" borderId="0" xfId="0" quotePrefix="1" applyNumberFormat="1" applyFont="1" applyFill="1" applyAlignment="1">
      <alignment horizontal="right"/>
    </xf>
    <xf numFmtId="164" fontId="5" fillId="11" borderId="25" xfId="1" applyNumberFormat="1" applyFont="1" applyFill="1" applyBorder="1" applyAlignment="1">
      <alignment horizontal="right"/>
    </xf>
    <xf numFmtId="0" fontId="73" fillId="0" borderId="0" xfId="0" applyFont="1"/>
    <xf numFmtId="0" fontId="5" fillId="3" borderId="0" xfId="0" applyFont="1" applyFill="1" applyAlignment="1">
      <alignment horizontal="center" vertical="top" wrapText="1"/>
    </xf>
    <xf numFmtId="0" fontId="5" fillId="0" borderId="0" xfId="0" applyFont="1" applyFill="1" applyAlignment="1">
      <alignment horizontal="left" vertical="top" wrapText="1"/>
    </xf>
    <xf numFmtId="0" fontId="2" fillId="0" borderId="0" xfId="2" applyFill="1" applyAlignment="1" applyProtection="1"/>
    <xf numFmtId="0" fontId="5" fillId="3" borderId="0" xfId="0" applyFont="1" applyFill="1" applyAlignment="1">
      <alignment horizontal="center" vertical="top" wrapText="1"/>
    </xf>
    <xf numFmtId="0" fontId="5" fillId="7" borderId="0" xfId="0" applyFont="1" applyFill="1" applyAlignment="1">
      <alignment horizontal="center" vertical="top"/>
    </xf>
    <xf numFmtId="0" fontId="5" fillId="0" borderId="0" xfId="0" applyFont="1" applyFill="1" applyBorder="1" applyAlignment="1">
      <alignment horizontal="left" vertical="top" wrapText="1"/>
    </xf>
    <xf numFmtId="0" fontId="5" fillId="3" borderId="0" xfId="0" applyFont="1" applyFill="1" applyAlignment="1">
      <alignment horizontal="center" vertical="top" wrapText="1"/>
    </xf>
    <xf numFmtId="0" fontId="72" fillId="0" borderId="0" xfId="0" applyFont="1" applyFill="1" applyBorder="1" applyAlignment="1">
      <alignment horizontal="left" vertical="top" wrapText="1"/>
    </xf>
    <xf numFmtId="0" fontId="5" fillId="7" borderId="0" xfId="0" applyFont="1" applyFill="1" applyBorder="1" applyAlignment="1">
      <alignment horizontal="left" vertical="top" wrapText="1"/>
    </xf>
    <xf numFmtId="0" fontId="108" fillId="0" borderId="0" xfId="0" applyFont="1" applyFill="1"/>
    <xf numFmtId="0" fontId="81" fillId="0" borderId="0" xfId="0" applyFont="1" applyFill="1"/>
    <xf numFmtId="0" fontId="72" fillId="7" borderId="0" xfId="0" applyFont="1" applyFill="1"/>
    <xf numFmtId="0" fontId="72" fillId="0" borderId="0" xfId="0" applyFont="1" applyFill="1" applyAlignment="1">
      <alignment horizontal="left" vertical="center"/>
    </xf>
    <xf numFmtId="0" fontId="7" fillId="0" borderId="0" xfId="0" applyFont="1" applyFill="1" applyAlignment="1">
      <alignment horizontal="left" vertical="top" wrapText="1"/>
    </xf>
    <xf numFmtId="0" fontId="97" fillId="0" borderId="0" xfId="0" applyFont="1" applyAlignment="1">
      <alignment horizontal="left"/>
    </xf>
    <xf numFmtId="0" fontId="102" fillId="0" borderId="0" xfId="0" applyFont="1"/>
    <xf numFmtId="0" fontId="74" fillId="0" borderId="0" xfId="0" applyFont="1" applyFill="1" applyAlignment="1">
      <alignment vertical="center"/>
    </xf>
    <xf numFmtId="0" fontId="5" fillId="0" borderId="0" xfId="0" applyFont="1" applyFill="1" applyAlignment="1">
      <alignment horizontal="justify" vertical="top"/>
    </xf>
    <xf numFmtId="0" fontId="102" fillId="0" borderId="0" xfId="0" applyFont="1" applyFill="1" applyAlignment="1">
      <alignment horizontal="justify" vertical="top" wrapText="1"/>
    </xf>
    <xf numFmtId="0" fontId="5" fillId="0" borderId="0" xfId="0" applyFont="1" applyFill="1" applyBorder="1" applyAlignment="1">
      <alignment horizontal="left" vertical="top" wrapText="1"/>
    </xf>
    <xf numFmtId="0" fontId="5" fillId="7" borderId="0" xfId="0" applyFont="1" applyFill="1" applyBorder="1" applyAlignment="1">
      <alignment horizontal="left" vertical="top" wrapText="1"/>
    </xf>
    <xf numFmtId="0" fontId="5" fillId="3" borderId="0" xfId="0" applyFont="1" applyFill="1" applyAlignment="1">
      <alignment horizontal="center" vertical="top" wrapText="1"/>
    </xf>
    <xf numFmtId="0" fontId="72" fillId="0" borderId="0" xfId="0" applyFont="1" applyFill="1" applyBorder="1" applyAlignment="1">
      <alignment horizontal="left" vertical="top" wrapText="1"/>
    </xf>
    <xf numFmtId="0" fontId="54" fillId="0" borderId="0" xfId="0" applyFont="1" applyFill="1"/>
    <xf numFmtId="0" fontId="73" fillId="7" borderId="0" xfId="0" applyFont="1" applyFill="1"/>
    <xf numFmtId="0" fontId="62" fillId="0" borderId="0" xfId="0" applyFont="1"/>
    <xf numFmtId="0" fontId="5" fillId="3" borderId="0" xfId="0" applyFont="1" applyFill="1" applyAlignment="1"/>
    <xf numFmtId="0" fontId="8" fillId="0" borderId="0" xfId="0" applyFont="1" applyFill="1" applyAlignment="1"/>
    <xf numFmtId="0" fontId="5" fillId="3" borderId="0" xfId="0" applyFont="1" applyFill="1" applyAlignment="1">
      <alignment horizontal="center" vertical="top" wrapText="1"/>
    </xf>
    <xf numFmtId="0" fontId="102" fillId="0" borderId="0" xfId="16" applyFont="1" applyFill="1" applyAlignment="1">
      <alignment vertical="top" wrapText="1"/>
    </xf>
    <xf numFmtId="0" fontId="6" fillId="0" borderId="7" xfId="0" applyFont="1" applyFill="1" applyBorder="1" applyAlignment="1">
      <alignment vertical="top" wrapText="1"/>
    </xf>
    <xf numFmtId="0" fontId="5" fillId="3" borderId="0" xfId="0" applyFont="1" applyFill="1" applyAlignment="1">
      <alignment horizontal="center" vertical="top" wrapText="1"/>
    </xf>
    <xf numFmtId="0" fontId="5" fillId="0" borderId="0" xfId="0" applyFont="1" applyFill="1" applyBorder="1" applyAlignment="1">
      <alignment vertical="top"/>
    </xf>
    <xf numFmtId="0" fontId="109" fillId="0" borderId="0" xfId="0" applyFont="1" applyFill="1" applyAlignment="1">
      <alignment horizontal="center" vertical="center"/>
    </xf>
    <xf numFmtId="0" fontId="5" fillId="3" borderId="0" xfId="0" applyFont="1" applyFill="1" applyAlignment="1">
      <alignment horizontal="center" vertical="top" wrapText="1"/>
    </xf>
    <xf numFmtId="0" fontId="105" fillId="0" borderId="0" xfId="5" applyFont="1" applyFill="1" applyAlignment="1"/>
    <xf numFmtId="0" fontId="5" fillId="3" borderId="0" xfId="0" applyFont="1" applyFill="1" applyAlignment="1">
      <alignment horizontal="center" vertical="top" wrapText="1"/>
    </xf>
    <xf numFmtId="0" fontId="13" fillId="0" borderId="0" xfId="0" applyFont="1" applyFill="1" applyBorder="1"/>
    <xf numFmtId="0" fontId="5" fillId="3" borderId="0" xfId="0" applyFont="1" applyFill="1" applyAlignment="1">
      <alignment horizontal="center" vertical="top" wrapText="1"/>
    </xf>
    <xf numFmtId="0" fontId="5" fillId="16" borderId="0" xfId="0" applyFont="1" applyFill="1"/>
    <xf numFmtId="0" fontId="5" fillId="3" borderId="0" xfId="0" applyFont="1" applyFill="1" applyAlignment="1">
      <alignment horizontal="left" wrapText="1"/>
    </xf>
    <xf numFmtId="0" fontId="5" fillId="3" borderId="0" xfId="0" applyFont="1" applyFill="1" applyAlignment="1">
      <alignment horizontal="center" vertical="center"/>
    </xf>
    <xf numFmtId="0" fontId="5" fillId="0" borderId="0" xfId="0" applyFont="1" applyFill="1" applyAlignment="1">
      <alignment vertical="top" wrapText="1"/>
    </xf>
    <xf numFmtId="0" fontId="5" fillId="3" borderId="0" xfId="0" applyFont="1" applyFill="1" applyAlignment="1">
      <alignment horizontal="center" vertical="top" wrapText="1"/>
    </xf>
    <xf numFmtId="0" fontId="5" fillId="3" borderId="0" xfId="16" applyFont="1" applyFill="1" applyAlignment="1">
      <alignment horizontal="center" vertical="center" wrapText="1"/>
    </xf>
    <xf numFmtId="0" fontId="5" fillId="0" borderId="0" xfId="16" applyFont="1" applyFill="1" applyAlignment="1">
      <alignment vertical="center"/>
    </xf>
    <xf numFmtId="0" fontId="61" fillId="7" borderId="0" xfId="16" applyFont="1" applyFill="1" applyAlignment="1">
      <alignment vertical="center"/>
    </xf>
    <xf numFmtId="0" fontId="5" fillId="16" borderId="0" xfId="0" applyFont="1" applyFill="1" applyAlignment="1">
      <alignment horizontal="center" vertical="top" wrapText="1"/>
    </xf>
    <xf numFmtId="0" fontId="5" fillId="3" borderId="0" xfId="0" applyFont="1" applyFill="1" applyAlignment="1">
      <alignment horizontal="center" vertical="top" wrapText="1"/>
    </xf>
    <xf numFmtId="0" fontId="5" fillId="0" borderId="0" xfId="0" applyFont="1" applyFill="1" applyAlignment="1">
      <alignment horizontal="center" wrapText="1"/>
    </xf>
    <xf numFmtId="0" fontId="5" fillId="3" borderId="0" xfId="0" applyFont="1" applyFill="1" applyAlignment="1">
      <alignment horizontal="center" vertical="top" wrapText="1"/>
    </xf>
    <xf numFmtId="0" fontId="6" fillId="0" borderId="0" xfId="0" applyFont="1" applyFill="1" applyAlignment="1">
      <alignment horizontal="left"/>
    </xf>
    <xf numFmtId="0" fontId="12" fillId="0" borderId="0" xfId="3" applyFont="1" applyAlignment="1">
      <alignment horizontal="left" vertical="top" wrapText="1"/>
    </xf>
    <xf numFmtId="0" fontId="53" fillId="0" borderId="0" xfId="0" applyFont="1" applyFill="1" applyBorder="1" applyAlignment="1">
      <alignment horizontal="left" vertical="top" wrapText="1"/>
    </xf>
    <xf numFmtId="164" fontId="6" fillId="0" borderId="0" xfId="1" applyNumberFormat="1" applyFont="1" applyFill="1" applyBorder="1" applyAlignment="1">
      <alignment horizontal="left"/>
    </xf>
    <xf numFmtId="3" fontId="6" fillId="0" borderId="0" xfId="1" applyNumberFormat="1" applyFont="1" applyFill="1" applyBorder="1" applyAlignment="1">
      <alignment horizontal="center"/>
    </xf>
    <xf numFmtId="0" fontId="5" fillId="11" borderId="0" xfId="16" applyFont="1" applyFill="1" applyAlignment="1">
      <alignment horizontal="center" vertical="top" wrapText="1"/>
    </xf>
    <xf numFmtId="0" fontId="5" fillId="7" borderId="0" xfId="0" applyFont="1" applyFill="1" applyBorder="1" applyAlignment="1">
      <alignment horizontal="left" vertical="top" wrapText="1"/>
    </xf>
    <xf numFmtId="0" fontId="5" fillId="3" borderId="0" xfId="0" applyFont="1" applyFill="1" applyAlignment="1">
      <alignment horizontal="center" vertical="top" wrapText="1"/>
    </xf>
    <xf numFmtId="0" fontId="6" fillId="3" borderId="0" xfId="0" applyFont="1" applyFill="1" applyAlignment="1"/>
    <xf numFmtId="0" fontId="73" fillId="0" borderId="3" xfId="0" applyFont="1" applyFill="1" applyBorder="1" applyAlignment="1"/>
    <xf numFmtId="0" fontId="73" fillId="0" borderId="38" xfId="0" applyFont="1" applyFill="1" applyBorder="1" applyAlignment="1"/>
    <xf numFmtId="0" fontId="53" fillId="0" borderId="39" xfId="0" applyFont="1" applyFill="1" applyBorder="1" applyAlignment="1">
      <alignment horizontal="center"/>
    </xf>
    <xf numFmtId="164" fontId="62" fillId="0" borderId="40" xfId="0" applyNumberFormat="1" applyFont="1" applyBorder="1" applyAlignment="1">
      <alignment horizontal="center"/>
    </xf>
    <xf numFmtId="0" fontId="5" fillId="0" borderId="7" xfId="0" applyFont="1" applyFill="1" applyBorder="1" applyAlignment="1">
      <alignment horizontal="justify" vertical="top" wrapText="1"/>
    </xf>
    <xf numFmtId="0" fontId="72" fillId="0" borderId="0" xfId="0" applyFont="1" applyFill="1" applyAlignment="1">
      <alignment horizontal="left" vertical="top" wrapText="1"/>
    </xf>
    <xf numFmtId="0" fontId="5" fillId="0" borderId="0" xfId="0" applyFont="1" applyFill="1" applyAlignment="1">
      <alignment horizontal="justify" vertical="top" wrapText="1"/>
    </xf>
    <xf numFmtId="0" fontId="83" fillId="0" borderId="1" xfId="0" applyFont="1" applyBorder="1" applyAlignment="1">
      <alignment horizontal="center"/>
    </xf>
    <xf numFmtId="0" fontId="74" fillId="0" borderId="0" xfId="0" applyFont="1" applyFill="1" applyAlignment="1">
      <alignment horizontal="left"/>
    </xf>
    <xf numFmtId="0" fontId="5" fillId="11" borderId="7" xfId="5" applyFont="1" applyFill="1" applyBorder="1"/>
    <xf numFmtId="0" fontId="5" fillId="11" borderId="7" xfId="0" applyFont="1" applyFill="1" applyBorder="1" applyAlignment="1">
      <alignment horizontal="justify" vertical="top" wrapText="1"/>
    </xf>
    <xf numFmtId="0" fontId="107" fillId="7" borderId="0" xfId="16" applyFont="1" applyFill="1" applyBorder="1" applyAlignment="1">
      <alignment vertical="top" wrapText="1"/>
    </xf>
    <xf numFmtId="0" fontId="5" fillId="3" borderId="0" xfId="0" applyFont="1" applyFill="1" applyAlignment="1">
      <alignment horizontal="center" vertical="top" wrapText="1"/>
    </xf>
    <xf numFmtId="0" fontId="3" fillId="0" borderId="0" xfId="0" applyFont="1" applyFill="1" applyAlignment="1">
      <alignment horizontal="left" vertical="top" wrapText="1"/>
    </xf>
    <xf numFmtId="0" fontId="5" fillId="0" borderId="0" xfId="0" applyFont="1" applyFill="1" applyAlignment="1">
      <alignment vertical="top" wrapText="1"/>
    </xf>
    <xf numFmtId="0" fontId="5" fillId="3" borderId="0" xfId="0" applyFont="1" applyFill="1" applyAlignment="1">
      <alignment horizontal="center" vertical="top" wrapText="1"/>
    </xf>
    <xf numFmtId="0" fontId="5" fillId="3" borderId="0" xfId="0" applyFont="1" applyFill="1" applyAlignment="1">
      <alignment horizontal="center" vertical="top" wrapText="1"/>
    </xf>
    <xf numFmtId="0" fontId="73" fillId="12" borderId="0" xfId="0" applyFont="1" applyFill="1"/>
    <xf numFmtId="164" fontId="81" fillId="0" borderId="0" xfId="1" applyNumberFormat="1" applyFont="1" applyFill="1" applyAlignment="1">
      <alignment horizontal="left"/>
    </xf>
    <xf numFmtId="0" fontId="5" fillId="3" borderId="0" xfId="0" applyFont="1" applyFill="1" applyAlignment="1">
      <alignment horizontal="center" vertical="top" wrapText="1"/>
    </xf>
    <xf numFmtId="0" fontId="5" fillId="3" borderId="0" xfId="0" applyFont="1" applyFill="1" applyAlignment="1">
      <alignment horizontal="center" vertical="top" wrapText="1"/>
    </xf>
    <xf numFmtId="0" fontId="5" fillId="0" borderId="7" xfId="0" applyFont="1" applyFill="1" applyBorder="1" applyAlignment="1">
      <alignment horizontal="justify" vertical="top" wrapText="1"/>
    </xf>
    <xf numFmtId="0" fontId="5" fillId="3" borderId="0" xfId="0" applyFont="1" applyFill="1" applyAlignment="1">
      <alignment horizontal="center" vertical="top" wrapText="1"/>
    </xf>
    <xf numFmtId="0" fontId="5" fillId="0" borderId="0" xfId="0" applyFont="1" applyFill="1" applyAlignment="1">
      <alignment horizontal="justify" vertical="top" wrapText="1"/>
    </xf>
    <xf numFmtId="0" fontId="72" fillId="0" borderId="0" xfId="0" applyFont="1" applyAlignment="1">
      <alignment horizontal="left"/>
    </xf>
    <xf numFmtId="0" fontId="74" fillId="0" borderId="0" xfId="0" applyFont="1" applyBorder="1" applyAlignment="1">
      <alignment horizontal="left" indent="1"/>
    </xf>
    <xf numFmtId="165" fontId="73" fillId="0" borderId="0" xfId="0" applyNumberFormat="1" applyFont="1"/>
    <xf numFmtId="0" fontId="71" fillId="0" borderId="0" xfId="16" applyFont="1" applyFill="1" applyAlignment="1"/>
    <xf numFmtId="0" fontId="73" fillId="7" borderId="0" xfId="0" applyFont="1" applyFill="1" applyBorder="1" applyAlignment="1">
      <alignment horizontal="left" vertical="top"/>
    </xf>
    <xf numFmtId="0" fontId="47" fillId="0" borderId="10" xfId="16" applyFont="1" applyBorder="1"/>
    <xf numFmtId="0" fontId="47" fillId="0" borderId="6" xfId="16" applyFont="1" applyBorder="1"/>
    <xf numFmtId="0" fontId="47" fillId="0" borderId="11" xfId="16" applyFont="1" applyBorder="1"/>
    <xf numFmtId="0" fontId="47" fillId="0" borderId="0" xfId="16" applyFont="1" applyBorder="1"/>
    <xf numFmtId="0" fontId="47" fillId="0" borderId="12" xfId="16" applyFont="1" applyBorder="1"/>
    <xf numFmtId="0" fontId="47" fillId="0" borderId="13" xfId="16" applyFont="1" applyBorder="1"/>
    <xf numFmtId="0" fontId="47" fillId="0" borderId="0" xfId="16" applyFont="1" applyBorder="1" applyAlignment="1"/>
    <xf numFmtId="0" fontId="47" fillId="0" borderId="14" xfId="16" applyFont="1" applyBorder="1"/>
    <xf numFmtId="0" fontId="47" fillId="0" borderId="1" xfId="16" applyFont="1" applyBorder="1"/>
    <xf numFmtId="0" fontId="47" fillId="0" borderId="15" xfId="16" applyFont="1" applyBorder="1"/>
    <xf numFmtId="0" fontId="6" fillId="0" borderId="7" xfId="0" applyFont="1" applyFill="1" applyBorder="1" applyAlignment="1">
      <alignment horizontal="justify" vertical="top" wrapText="1"/>
    </xf>
    <xf numFmtId="0" fontId="72" fillId="3" borderId="0" xfId="0" applyFont="1" applyFill="1" applyAlignment="1">
      <alignment horizontal="center" vertical="top" wrapText="1"/>
    </xf>
    <xf numFmtId="0" fontId="1" fillId="0" borderId="0" xfId="0" applyFont="1" applyAlignment="1">
      <alignment vertical="top" wrapText="1"/>
    </xf>
    <xf numFmtId="0" fontId="72" fillId="3" borderId="0" xfId="0" applyFont="1" applyFill="1" applyAlignment="1">
      <alignment vertical="top" wrapText="1"/>
    </xf>
    <xf numFmtId="0" fontId="7" fillId="0" borderId="0" xfId="0" applyFont="1" applyFill="1" applyAlignment="1">
      <alignment horizontal="left" vertical="top"/>
    </xf>
    <xf numFmtId="0" fontId="112" fillId="0" borderId="0" xfId="0" applyFont="1" applyFill="1"/>
    <xf numFmtId="0" fontId="5" fillId="3" borderId="0" xfId="0" applyFont="1" applyFill="1" applyAlignment="1">
      <alignment horizontal="center" vertical="top" wrapText="1"/>
    </xf>
    <xf numFmtId="0" fontId="77" fillId="0" borderId="0" xfId="0" applyFont="1" applyFill="1" applyAlignment="1">
      <alignment horizontal="justify" vertical="top" wrapText="1"/>
    </xf>
    <xf numFmtId="0" fontId="72" fillId="0" borderId="0" xfId="0" applyFont="1" applyFill="1" applyAlignment="1">
      <alignment horizontal="left"/>
    </xf>
    <xf numFmtId="0" fontId="72" fillId="0" borderId="0" xfId="0" applyFont="1" applyFill="1" applyAlignment="1">
      <alignment horizontal="left" vertical="top" wrapText="1"/>
    </xf>
    <xf numFmtId="0" fontId="112" fillId="7" borderId="0" xfId="0" applyFont="1" applyFill="1"/>
    <xf numFmtId="0" fontId="3" fillId="0" borderId="0" xfId="0" applyFont="1" applyFill="1" applyAlignment="1">
      <alignment horizontal="right"/>
    </xf>
    <xf numFmtId="0" fontId="74" fillId="0" borderId="0" xfId="0" applyFont="1" applyFill="1" applyAlignment="1">
      <alignment horizontal="right"/>
    </xf>
    <xf numFmtId="164" fontId="72" fillId="0" borderId="0" xfId="0" applyNumberFormat="1" applyFont="1" applyFill="1"/>
    <xf numFmtId="1" fontId="73" fillId="0" borderId="0" xfId="0" applyNumberFormat="1" applyFont="1" applyFill="1" applyAlignment="1">
      <alignment horizontal="right"/>
    </xf>
    <xf numFmtId="0" fontId="5" fillId="3" borderId="0" xfId="0" applyFont="1" applyFill="1" applyAlignment="1">
      <alignment horizontal="center" vertical="top" wrapText="1"/>
    </xf>
    <xf numFmtId="0" fontId="5" fillId="0" borderId="0" xfId="0" applyFont="1" applyFill="1" applyAlignment="1">
      <alignment horizontal="justify" vertical="top" wrapText="1"/>
    </xf>
    <xf numFmtId="0" fontId="72" fillId="0" borderId="0" xfId="5" applyFont="1" applyFill="1" applyAlignment="1">
      <alignment vertical="top" wrapText="1"/>
    </xf>
    <xf numFmtId="0" fontId="72" fillId="0" borderId="0" xfId="5" applyFont="1" applyFill="1" applyAlignment="1">
      <alignment horizontal="left" vertical="top" wrapText="1"/>
    </xf>
    <xf numFmtId="3" fontId="5" fillId="3" borderId="0" xfId="0" applyNumberFormat="1" applyFont="1" applyFill="1" applyAlignment="1">
      <alignment horizontal="center"/>
    </xf>
    <xf numFmtId="0" fontId="83" fillId="0" borderId="0" xfId="0" applyFont="1" applyBorder="1" applyAlignment="1">
      <alignment horizontal="center"/>
    </xf>
    <xf numFmtId="3" fontId="5" fillId="3" borderId="7" xfId="0" quotePrefix="1" applyNumberFormat="1" applyFont="1" applyFill="1" applyBorder="1" applyAlignment="1">
      <alignment horizontal="center" vertical="top" wrapText="1"/>
    </xf>
    <xf numFmtId="0" fontId="1" fillId="0" borderId="0" xfId="0" applyFont="1" applyFill="1"/>
    <xf numFmtId="0" fontId="7" fillId="0" borderId="0" xfId="0" applyFont="1" applyFill="1" applyAlignment="1">
      <alignment horizontal="left" wrapText="1"/>
    </xf>
    <xf numFmtId="0" fontId="82" fillId="0" borderId="0" xfId="0" applyFont="1" applyFill="1" applyAlignment="1">
      <alignment horizontal="center"/>
    </xf>
    <xf numFmtId="0" fontId="1" fillId="0" borderId="0" xfId="0" applyFont="1" applyFill="1" applyAlignment="1">
      <alignment vertical="top" wrapText="1"/>
    </xf>
    <xf numFmtId="0" fontId="5" fillId="3" borderId="0" xfId="0" applyFont="1" applyFill="1" applyAlignment="1">
      <alignment horizontal="center" vertical="top" wrapText="1"/>
    </xf>
    <xf numFmtId="0" fontId="6" fillId="0" borderId="0" xfId="0" applyFont="1" applyFill="1" applyAlignment="1">
      <alignment horizontal="left"/>
    </xf>
    <xf numFmtId="0" fontId="102" fillId="0" borderId="0" xfId="16" applyFont="1" applyFill="1" applyAlignment="1">
      <alignment horizontal="left" vertical="top" wrapText="1"/>
    </xf>
    <xf numFmtId="0" fontId="53" fillId="0" borderId="3" xfId="0" applyFont="1" applyFill="1" applyBorder="1" applyAlignment="1"/>
    <xf numFmtId="0" fontId="5" fillId="3" borderId="0" xfId="0" applyFont="1" applyFill="1" applyAlignment="1">
      <alignment horizontal="center" vertical="top" wrapText="1"/>
    </xf>
    <xf numFmtId="0" fontId="5" fillId="0" borderId="0" xfId="0" applyFont="1" applyFill="1" applyAlignment="1">
      <alignment horizontal="justify" vertical="top" wrapText="1"/>
    </xf>
    <xf numFmtId="0" fontId="102" fillId="0" borderId="0" xfId="16" applyFont="1" applyFill="1" applyAlignment="1">
      <alignment horizontal="left" vertical="top" wrapText="1"/>
    </xf>
    <xf numFmtId="0" fontId="54" fillId="0" borderId="0" xfId="0" applyFont="1" applyAlignment="1">
      <alignment horizontal="left"/>
    </xf>
    <xf numFmtId="0" fontId="62" fillId="12" borderId="0" xfId="0" applyFont="1" applyFill="1" applyBorder="1" applyAlignment="1"/>
    <xf numFmtId="0" fontId="2" fillId="0" borderId="0" xfId="2" applyAlignment="1" applyProtection="1"/>
    <xf numFmtId="0" fontId="72" fillId="8" borderId="0" xfId="0" applyFont="1" applyFill="1" applyAlignment="1">
      <alignment horizontal="center"/>
    </xf>
    <xf numFmtId="0" fontId="5" fillId="3" borderId="0" xfId="16" applyFont="1" applyFill="1" applyAlignment="1">
      <alignment horizontal="center"/>
    </xf>
    <xf numFmtId="0" fontId="114" fillId="0" borderId="0" xfId="0" applyFont="1" applyAlignment="1">
      <alignment horizontal="justify" vertical="center"/>
    </xf>
    <xf numFmtId="0" fontId="115" fillId="0" borderId="0" xfId="0" applyFont="1" applyAlignment="1">
      <alignment horizontal="justify" vertical="center"/>
    </xf>
    <xf numFmtId="0" fontId="5" fillId="3" borderId="0" xfId="0" applyFont="1" applyFill="1" applyAlignment="1">
      <alignment horizontal="center" vertical="center" wrapText="1"/>
    </xf>
    <xf numFmtId="0" fontId="5" fillId="3" borderId="0" xfId="16" applyFont="1" applyFill="1" applyAlignment="1">
      <alignment vertical="center"/>
    </xf>
    <xf numFmtId="0" fontId="116" fillId="0" borderId="0" xfId="2" applyFont="1" applyFill="1" applyAlignment="1" applyProtection="1">
      <alignment vertical="top" wrapText="1"/>
    </xf>
    <xf numFmtId="0" fontId="117" fillId="0" borderId="0" xfId="16" applyFont="1" applyFill="1"/>
    <xf numFmtId="0" fontId="72" fillId="3" borderId="0" xfId="16" applyFont="1" applyFill="1" applyAlignment="1">
      <alignment horizontal="left" vertical="top"/>
    </xf>
    <xf numFmtId="0" fontId="74" fillId="7" borderId="0" xfId="0" applyFont="1" applyFill="1" applyAlignment="1">
      <alignment vertical="top"/>
    </xf>
    <xf numFmtId="0" fontId="34" fillId="0" borderId="0" xfId="0" applyFont="1" applyAlignment="1">
      <alignment vertical="top"/>
    </xf>
    <xf numFmtId="0" fontId="6" fillId="0" borderId="7" xfId="0" applyFont="1" applyFill="1" applyBorder="1" applyAlignment="1">
      <alignment horizontal="justify" vertical="top" wrapText="1"/>
    </xf>
    <xf numFmtId="0" fontId="5" fillId="3" borderId="0" xfId="0" applyFont="1" applyFill="1" applyAlignment="1">
      <alignment horizontal="center" vertical="top" wrapText="1"/>
    </xf>
    <xf numFmtId="0" fontId="5" fillId="0" borderId="0" xfId="0" applyFont="1" applyFill="1" applyBorder="1" applyAlignment="1">
      <alignment vertical="top"/>
    </xf>
    <xf numFmtId="0" fontId="5" fillId="0" borderId="0" xfId="16" applyFont="1" applyFill="1" applyAlignment="1">
      <alignment horizontal="left" vertical="top" wrapText="1"/>
    </xf>
    <xf numFmtId="0" fontId="5" fillId="7" borderId="0" xfId="0" applyFont="1" applyFill="1" applyBorder="1" applyAlignment="1">
      <alignment horizontal="left" vertical="top" wrapText="1"/>
    </xf>
    <xf numFmtId="0" fontId="5" fillId="3" borderId="0" xfId="0" applyFont="1" applyFill="1" applyAlignment="1">
      <alignment horizontal="center" vertical="top" wrapText="1"/>
    </xf>
    <xf numFmtId="0" fontId="7" fillId="0" borderId="12" xfId="5" applyFont="1" applyFill="1" applyBorder="1"/>
    <xf numFmtId="0" fontId="7" fillId="0" borderId="13" xfId="5" applyFont="1" applyFill="1" applyBorder="1"/>
    <xf numFmtId="0" fontId="7" fillId="0" borderId="17" xfId="5" applyFont="1" applyFill="1" applyBorder="1"/>
    <xf numFmtId="0" fontId="5" fillId="3" borderId="0" xfId="0" applyFont="1" applyFill="1" applyAlignment="1">
      <alignment horizontal="center" vertical="top" wrapText="1"/>
    </xf>
    <xf numFmtId="0" fontId="72" fillId="0" borderId="0" xfId="5" applyFont="1" applyFill="1" applyAlignment="1">
      <alignment vertical="top" wrapText="1"/>
    </xf>
    <xf numFmtId="0" fontId="12" fillId="0" borderId="0" xfId="3" applyFont="1" applyAlignment="1">
      <alignment horizontal="left" vertical="top" wrapText="1"/>
    </xf>
    <xf numFmtId="164" fontId="108" fillId="0" borderId="0" xfId="0" applyNumberFormat="1" applyFont="1" applyFill="1"/>
    <xf numFmtId="0" fontId="108" fillId="0" borderId="0" xfId="0" applyFont="1" applyFill="1" applyAlignment="1">
      <alignment horizontal="left"/>
    </xf>
    <xf numFmtId="0" fontId="120" fillId="0" borderId="0" xfId="0" applyFont="1" applyFill="1" applyAlignment="1">
      <alignment horizontal="left" wrapText="1"/>
    </xf>
    <xf numFmtId="0" fontId="83" fillId="0" borderId="0" xfId="0" applyFont="1" applyBorder="1" applyAlignment="1">
      <alignment horizontal="left" vertical="center"/>
    </xf>
    <xf numFmtId="0" fontId="77" fillId="0" borderId="0" xfId="0" applyFont="1" applyFill="1" applyAlignment="1">
      <alignment horizontal="left" vertical="top"/>
    </xf>
    <xf numFmtId="0" fontId="12" fillId="0" borderId="0" xfId="3" applyFont="1" applyAlignment="1">
      <alignment horizontal="left" vertical="top" wrapText="1"/>
    </xf>
    <xf numFmtId="0" fontId="71" fillId="7" borderId="0" xfId="16" applyFont="1" applyFill="1" applyAlignment="1">
      <alignment vertical="top"/>
    </xf>
    <xf numFmtId="0" fontId="71" fillId="7" borderId="0" xfId="16" applyFont="1" applyFill="1" applyAlignment="1">
      <alignment vertical="center"/>
    </xf>
    <xf numFmtId="0" fontId="5" fillId="3" borderId="0" xfId="0" applyFont="1" applyFill="1" applyAlignment="1">
      <alignment horizontal="center" vertical="top" wrapText="1"/>
    </xf>
    <xf numFmtId="0" fontId="5" fillId="0" borderId="0" xfId="16" applyFont="1" applyFill="1" applyAlignment="1">
      <alignment horizontal="left" vertical="top" wrapText="1"/>
    </xf>
    <xf numFmtId="0" fontId="24" fillId="0" borderId="0" xfId="16" applyFont="1" applyFill="1" applyAlignment="1">
      <alignment horizontal="center" vertical="top"/>
    </xf>
    <xf numFmtId="0" fontId="24" fillId="0" borderId="1" xfId="16" applyFont="1" applyFill="1" applyBorder="1" applyAlignment="1">
      <alignment horizontal="center" vertical="top"/>
    </xf>
    <xf numFmtId="0" fontId="12" fillId="0" borderId="0" xfId="3" applyFont="1" applyAlignment="1">
      <alignment horizontal="left" vertical="top" wrapText="1"/>
    </xf>
    <xf numFmtId="1" fontId="73" fillId="0" borderId="0" xfId="0" applyNumberFormat="1" applyFont="1" applyFill="1" applyAlignment="1">
      <alignment horizontal="left"/>
    </xf>
    <xf numFmtId="0" fontId="6" fillId="0" borderId="0" xfId="0" applyFont="1" applyFill="1" applyAlignment="1">
      <alignment horizontal="left"/>
    </xf>
    <xf numFmtId="0" fontId="83" fillId="7" borderId="47" xfId="0" applyFont="1" applyFill="1" applyBorder="1"/>
    <xf numFmtId="0" fontId="1" fillId="7" borderId="48" xfId="0" applyFont="1" applyFill="1" applyBorder="1"/>
    <xf numFmtId="0" fontId="1" fillId="20" borderId="0" xfId="0" applyFont="1" applyFill="1"/>
    <xf numFmtId="0" fontId="83" fillId="0" borderId="0" xfId="0" applyFont="1" applyFill="1" applyBorder="1" applyAlignment="1">
      <alignment horizontal="center" vertical="top"/>
    </xf>
    <xf numFmtId="0" fontId="83" fillId="0" borderId="1" xfId="0" applyFont="1" applyFill="1" applyBorder="1" applyAlignment="1">
      <alignment horizontal="center"/>
    </xf>
    <xf numFmtId="0" fontId="83" fillId="0" borderId="1" xfId="0" applyFont="1" applyFill="1" applyBorder="1" applyAlignment="1">
      <alignment horizontal="left"/>
    </xf>
    <xf numFmtId="0" fontId="2" fillId="0" borderId="0" xfId="2" applyAlignment="1" applyProtection="1">
      <alignment horizontal="left" vertical="center" wrapText="1" indent="1"/>
    </xf>
    <xf numFmtId="0" fontId="122" fillId="0" borderId="0" xfId="0" applyFont="1" applyAlignment="1">
      <alignment vertical="top"/>
    </xf>
    <xf numFmtId="0" fontId="3" fillId="0" borderId="0" xfId="0" applyFont="1" applyAlignment="1">
      <alignment horizontal="left" wrapText="1"/>
    </xf>
    <xf numFmtId="0" fontId="7" fillId="0" borderId="0" xfId="0" applyFont="1" applyFill="1" applyAlignment="1">
      <alignment vertical="top" wrapText="1"/>
    </xf>
    <xf numFmtId="0" fontId="82" fillId="0" borderId="0" xfId="0" applyFont="1" applyFill="1" applyAlignment="1">
      <alignment horizontal="center" vertical="top"/>
    </xf>
    <xf numFmtId="0" fontId="8" fillId="0" borderId="0" xfId="0" applyFont="1" applyAlignment="1">
      <alignment horizontal="center" vertical="top" wrapText="1"/>
    </xf>
    <xf numFmtId="0" fontId="7" fillId="0" borderId="0" xfId="0" applyFont="1" applyAlignment="1">
      <alignment horizontal="justify" vertical="top" wrapText="1"/>
    </xf>
    <xf numFmtId="164" fontId="7" fillId="0" borderId="0" xfId="1" applyNumberFormat="1" applyFont="1" applyFill="1"/>
    <xf numFmtId="0" fontId="7" fillId="0" borderId="1" xfId="0" applyFont="1" applyFill="1" applyBorder="1"/>
    <xf numFmtId="0" fontId="7" fillId="0" borderId="0" xfId="0" applyFont="1" applyBorder="1"/>
    <xf numFmtId="0" fontId="31" fillId="0" borderId="0" xfId="0" applyFont="1" applyFill="1" applyAlignment="1">
      <alignment vertical="top" wrapText="1"/>
    </xf>
    <xf numFmtId="0" fontId="31" fillId="0" borderId="0" xfId="0" applyFont="1" applyAlignment="1">
      <alignment horizontal="justify" vertical="top" wrapText="1"/>
    </xf>
    <xf numFmtId="0" fontId="7" fillId="0" borderId="0" xfId="0" applyFont="1" applyAlignment="1">
      <alignment horizontal="centerContinuous"/>
    </xf>
    <xf numFmtId="164" fontId="31" fillId="0" borderId="0" xfId="1" applyNumberFormat="1" applyFont="1" applyFill="1" applyAlignment="1">
      <alignment horizontal="right"/>
    </xf>
    <xf numFmtId="0" fontId="31" fillId="0" borderId="0" xfId="0" applyFont="1" applyAlignment="1">
      <alignment horizontal="right"/>
    </xf>
    <xf numFmtId="1" fontId="31" fillId="0" borderId="0" xfId="1" applyNumberFormat="1" applyFont="1" applyFill="1" applyBorder="1" applyAlignment="1">
      <alignment horizontal="right"/>
    </xf>
    <xf numFmtId="0" fontId="31" fillId="0" borderId="0" xfId="0" applyFont="1" applyFill="1" applyAlignment="1">
      <alignment horizontal="justify" vertical="top" wrapText="1"/>
    </xf>
    <xf numFmtId="0" fontId="31" fillId="0" borderId="0" xfId="0" applyFont="1" applyFill="1" applyBorder="1" applyAlignment="1">
      <alignment horizontal="justify" vertical="top" wrapText="1"/>
    </xf>
    <xf numFmtId="0" fontId="31" fillId="0" borderId="0" xfId="0" applyFont="1" applyBorder="1" applyAlignment="1">
      <alignment horizontal="right"/>
    </xf>
    <xf numFmtId="164" fontId="31" fillId="0" borderId="0" xfId="1" quotePrefix="1" applyNumberFormat="1" applyFont="1" applyFill="1" applyBorder="1" applyAlignment="1">
      <alignment horizontal="right"/>
    </xf>
    <xf numFmtId="37" fontId="31" fillId="0" borderId="0" xfId="1" quotePrefix="1" applyNumberFormat="1" applyFont="1" applyFill="1" applyBorder="1" applyAlignment="1">
      <alignment horizontal="center"/>
    </xf>
    <xf numFmtId="0" fontId="7" fillId="0" borderId="0" xfId="0" applyFont="1" applyBorder="1" applyAlignment="1">
      <alignment horizontal="justify" vertical="top" wrapText="1"/>
    </xf>
    <xf numFmtId="0" fontId="7" fillId="8" borderId="0" xfId="0" applyFont="1" applyFill="1" applyBorder="1" applyAlignment="1">
      <alignment horizontal="center"/>
    </xf>
    <xf numFmtId="164" fontId="7" fillId="0" borderId="0" xfId="1" applyNumberFormat="1" applyFont="1" applyFill="1" applyBorder="1"/>
    <xf numFmtId="164" fontId="7" fillId="0" borderId="0" xfId="0" applyNumberFormat="1" applyFont="1"/>
    <xf numFmtId="0" fontId="7" fillId="0" borderId="0" xfId="0" applyFont="1" applyFill="1" applyBorder="1" applyAlignment="1">
      <alignment horizontal="justify" vertical="top" wrapText="1"/>
    </xf>
    <xf numFmtId="164" fontId="7" fillId="0" borderId="1" xfId="1" applyNumberFormat="1" applyFont="1" applyFill="1" applyBorder="1"/>
    <xf numFmtId="0" fontId="7" fillId="0" borderId="0" xfId="0" applyFont="1" applyFill="1" applyBorder="1"/>
    <xf numFmtId="164" fontId="31" fillId="0" borderId="1" xfId="1" applyNumberFormat="1" applyFont="1" applyFill="1" applyBorder="1"/>
    <xf numFmtId="0" fontId="31" fillId="0" borderId="0" xfId="0" applyFont="1" applyFill="1" applyBorder="1"/>
    <xf numFmtId="43" fontId="7" fillId="0" borderId="0" xfId="1" applyNumberFormat="1" applyFont="1" applyFill="1" applyBorder="1"/>
    <xf numFmtId="43" fontId="7" fillId="0" borderId="1" xfId="1" applyNumberFormat="1" applyFont="1" applyFill="1" applyBorder="1"/>
    <xf numFmtId="165" fontId="31" fillId="0" borderId="1" xfId="1" applyNumberFormat="1" applyFont="1" applyFill="1" applyBorder="1"/>
    <xf numFmtId="0" fontId="31" fillId="0" borderId="0" xfId="0" applyFont="1" applyFill="1"/>
    <xf numFmtId="164" fontId="7" fillId="0" borderId="6" xfId="1" applyNumberFormat="1" applyFont="1" applyFill="1" applyBorder="1"/>
    <xf numFmtId="0" fontId="7" fillId="0" borderId="0" xfId="0" applyFont="1" applyFill="1" applyBorder="1" applyAlignment="1">
      <alignment horizontal="center"/>
    </xf>
    <xf numFmtId="164" fontId="7" fillId="0" borderId="0" xfId="1" applyNumberFormat="1" applyFont="1" applyFill="1" applyBorder="1" applyAlignment="1">
      <alignment horizontal="right"/>
    </xf>
    <xf numFmtId="164" fontId="7" fillId="0" borderId="1" xfId="1" applyNumberFormat="1" applyFont="1" applyFill="1" applyBorder="1" applyAlignment="1">
      <alignment horizontal="right"/>
    </xf>
    <xf numFmtId="0" fontId="7" fillId="0" borderId="0" xfId="0" applyFont="1" applyAlignment="1">
      <alignment horizontal="center"/>
    </xf>
    <xf numFmtId="164" fontId="31" fillId="0" borderId="1" xfId="1" applyNumberFormat="1" applyFont="1" applyFill="1" applyBorder="1" applyAlignment="1">
      <alignment horizontal="right"/>
    </xf>
    <xf numFmtId="164" fontId="31" fillId="0" borderId="6" xfId="1" applyNumberFormat="1" applyFont="1" applyFill="1" applyBorder="1" applyAlignment="1">
      <alignment horizontal="right"/>
    </xf>
    <xf numFmtId="164" fontId="31" fillId="0" borderId="0" xfId="1" applyNumberFormat="1" applyFont="1" applyFill="1" applyBorder="1" applyAlignment="1">
      <alignment horizontal="right"/>
    </xf>
    <xf numFmtId="164" fontId="31" fillId="0" borderId="26" xfId="1" applyNumberFormat="1" applyFont="1" applyFill="1" applyBorder="1" applyAlignment="1">
      <alignment horizontal="right"/>
    </xf>
    <xf numFmtId="0" fontId="31" fillId="0" borderId="0" xfId="0" applyFont="1" applyFill="1" applyBorder="1" applyAlignment="1">
      <alignment horizontal="left"/>
    </xf>
    <xf numFmtId="0" fontId="7" fillId="0" borderId="0" xfId="0" applyFont="1" applyBorder="1" applyAlignment="1">
      <alignment horizontal="center"/>
    </xf>
    <xf numFmtId="0" fontId="82" fillId="0" borderId="0" xfId="0" applyFont="1" applyFill="1" applyBorder="1" applyAlignment="1">
      <alignment horizontal="justify" vertical="top" wrapText="1"/>
    </xf>
    <xf numFmtId="0" fontId="123" fillId="0" borderId="0" xfId="3" applyFont="1" applyFill="1" applyAlignment="1">
      <alignment horizontal="justify" vertical="top" wrapText="1"/>
    </xf>
    <xf numFmtId="37" fontId="7" fillId="0" borderId="0" xfId="1" applyNumberFormat="1" applyFont="1" applyFill="1" applyBorder="1"/>
    <xf numFmtId="0" fontId="7" fillId="0" borderId="0" xfId="0" applyFont="1" applyFill="1" applyAlignment="1">
      <alignment vertical="top"/>
    </xf>
    <xf numFmtId="0" fontId="31" fillId="0" borderId="0" xfId="0" applyFont="1" applyFill="1" applyAlignment="1">
      <alignment horizontal="centerContinuous" vertical="top" wrapText="1"/>
    </xf>
    <xf numFmtId="0" fontId="31" fillId="0" borderId="0" xfId="0" applyFont="1" applyFill="1" applyAlignment="1">
      <alignment horizontal="right" vertical="top"/>
    </xf>
    <xf numFmtId="1" fontId="31" fillId="0" borderId="0" xfId="1" quotePrefix="1" applyNumberFormat="1" applyFont="1" applyFill="1" applyBorder="1" applyAlignment="1">
      <alignment horizontal="right" vertical="top" wrapText="1"/>
    </xf>
    <xf numFmtId="164" fontId="31" fillId="0" borderId="0" xfId="1" applyNumberFormat="1" applyFont="1" applyFill="1" applyBorder="1" applyAlignment="1">
      <alignment horizontal="right" vertical="top" wrapText="1"/>
    </xf>
    <xf numFmtId="37" fontId="31" fillId="0" borderId="0" xfId="1" applyNumberFormat="1" applyFont="1" applyFill="1" applyBorder="1" applyAlignment="1">
      <alignment horizontal="center" vertical="top" wrapText="1"/>
    </xf>
    <xf numFmtId="37" fontId="7" fillId="0" borderId="0" xfId="1" applyNumberFormat="1" applyFont="1" applyFill="1" applyBorder="1" applyAlignment="1">
      <alignment vertical="top" wrapText="1"/>
    </xf>
    <xf numFmtId="0" fontId="7" fillId="0" borderId="0" xfId="0" applyFont="1" applyFill="1" applyBorder="1" applyAlignment="1">
      <alignment vertical="top" wrapText="1"/>
    </xf>
    <xf numFmtId="0" fontId="7" fillId="8" borderId="0" xfId="0" applyFont="1" applyFill="1" applyBorder="1" applyAlignment="1">
      <alignment horizontal="center" vertical="top" wrapText="1"/>
    </xf>
    <xf numFmtId="164" fontId="7" fillId="0" borderId="0" xfId="1" applyNumberFormat="1" applyFont="1" applyFill="1" applyBorder="1" applyAlignment="1">
      <alignment horizontal="right" vertical="top" wrapText="1"/>
    </xf>
    <xf numFmtId="164" fontId="7" fillId="0" borderId="1" xfId="1" applyNumberFormat="1" applyFont="1" applyFill="1" applyBorder="1" applyAlignment="1">
      <alignment horizontal="right" vertical="top" wrapText="1"/>
    </xf>
    <xf numFmtId="0" fontId="31" fillId="0" borderId="0" xfId="0" applyFont="1" applyFill="1" applyBorder="1" applyAlignment="1">
      <alignment vertical="top" wrapText="1"/>
    </xf>
    <xf numFmtId="164" fontId="31" fillId="0" borderId="1" xfId="1" applyNumberFormat="1" applyFont="1" applyFill="1" applyBorder="1" applyAlignment="1">
      <alignment vertical="top" wrapText="1"/>
    </xf>
    <xf numFmtId="164" fontId="7" fillId="0" borderId="0" xfId="1" applyNumberFormat="1" applyFont="1" applyFill="1" applyBorder="1" applyAlignment="1">
      <alignment vertical="top" wrapText="1"/>
    </xf>
    <xf numFmtId="0" fontId="7" fillId="8" borderId="0" xfId="1" applyNumberFormat="1" applyFont="1" applyFill="1" applyBorder="1" applyAlignment="1">
      <alignment horizontal="center" vertical="top" wrapText="1"/>
    </xf>
    <xf numFmtId="164" fontId="123" fillId="0" borderId="0" xfId="1" applyNumberFormat="1" applyFont="1" applyFill="1" applyBorder="1" applyAlignment="1">
      <alignment horizontal="right" vertical="top" wrapText="1"/>
    </xf>
    <xf numFmtId="164" fontId="31" fillId="0" borderId="26" xfId="1" applyNumberFormat="1" applyFont="1" applyFill="1" applyBorder="1" applyAlignment="1">
      <alignment vertical="top" wrapText="1"/>
    </xf>
    <xf numFmtId="164" fontId="7" fillId="0" borderId="1" xfId="1" applyNumberFormat="1" applyFont="1" applyFill="1" applyBorder="1" applyAlignment="1">
      <alignment vertical="top" wrapText="1"/>
    </xf>
    <xf numFmtId="164" fontId="31" fillId="0" borderId="0" xfId="1" applyNumberFormat="1" applyFont="1" applyFill="1" applyBorder="1" applyAlignment="1">
      <alignment vertical="top" wrapText="1"/>
    </xf>
    <xf numFmtId="37" fontId="7" fillId="0" borderId="0" xfId="1" applyNumberFormat="1" applyFont="1" applyFill="1" applyAlignment="1">
      <alignment horizontal="right" vertical="top" wrapText="1"/>
    </xf>
    <xf numFmtId="37" fontId="7" fillId="0" borderId="0" xfId="1" applyNumberFormat="1" applyFont="1" applyFill="1" applyAlignment="1">
      <alignment vertical="top" wrapText="1"/>
    </xf>
    <xf numFmtId="38" fontId="31" fillId="0" borderId="0" xfId="0" applyNumberFormat="1" applyFont="1" applyFill="1" applyAlignment="1">
      <alignment horizontal="right"/>
    </xf>
    <xf numFmtId="0" fontId="31" fillId="0" borderId="0" xfId="0" applyFont="1" applyFill="1" applyBorder="1" applyAlignment="1">
      <alignment horizontal="right"/>
    </xf>
    <xf numFmtId="0" fontId="31" fillId="0" borderId="0" xfId="0" applyFont="1" applyFill="1" applyAlignment="1">
      <alignment horizontal="center"/>
    </xf>
    <xf numFmtId="38" fontId="7" fillId="0" borderId="0" xfId="0" applyNumberFormat="1" applyFont="1" applyFill="1" applyBorder="1" applyAlignment="1">
      <alignment horizontal="right"/>
    </xf>
    <xf numFmtId="0" fontId="7" fillId="0" borderId="0" xfId="0" applyFont="1" applyFill="1" applyBorder="1" applyAlignment="1">
      <alignment horizontal="right"/>
    </xf>
    <xf numFmtId="0" fontId="7" fillId="0" borderId="0" xfId="2" applyFont="1" applyFill="1" applyBorder="1" applyAlignment="1" applyProtection="1">
      <alignment horizontal="left"/>
    </xf>
    <xf numFmtId="0" fontId="7" fillId="0" borderId="0" xfId="0" applyFont="1" applyFill="1" applyBorder="1" applyAlignment="1">
      <alignment horizontal="left"/>
    </xf>
    <xf numFmtId="0" fontId="7" fillId="8" borderId="0" xfId="0" applyFont="1" applyFill="1" applyAlignment="1">
      <alignment horizontal="center"/>
    </xf>
    <xf numFmtId="38" fontId="7" fillId="0" borderId="0" xfId="0" applyNumberFormat="1" applyFont="1" applyFill="1" applyBorder="1" applyAlignment="1">
      <alignment horizontal="center"/>
    </xf>
    <xf numFmtId="0" fontId="31" fillId="0" borderId="0" xfId="2" applyFont="1" applyFill="1" applyAlignment="1" applyProtection="1">
      <alignment horizontal="left"/>
    </xf>
    <xf numFmtId="164" fontId="31" fillId="0" borderId="2" xfId="1" applyNumberFormat="1" applyFont="1" applyFill="1" applyBorder="1"/>
    <xf numFmtId="164" fontId="31" fillId="0" borderId="0" xfId="1" applyNumberFormat="1" applyFont="1" applyFill="1" applyBorder="1"/>
    <xf numFmtId="164" fontId="31" fillId="0" borderId="16" xfId="1" applyNumberFormat="1" applyFont="1" applyFill="1" applyBorder="1"/>
    <xf numFmtId="0" fontId="7" fillId="0" borderId="0" xfId="0" applyFont="1" applyFill="1" applyAlignment="1">
      <alignment horizontal="left"/>
    </xf>
    <xf numFmtId="0" fontId="7" fillId="0" borderId="0" xfId="0" applyFont="1" applyFill="1" applyAlignment="1">
      <alignment horizontal="centerContinuous"/>
    </xf>
    <xf numFmtId="164" fontId="7" fillId="0" borderId="0" xfId="1" applyNumberFormat="1" applyFont="1" applyFill="1" applyAlignment="1">
      <alignment horizontal="centerContinuous"/>
    </xf>
    <xf numFmtId="164" fontId="7" fillId="0" borderId="0" xfId="0" applyNumberFormat="1" applyFont="1" applyFill="1"/>
    <xf numFmtId="0" fontId="7" fillId="0" borderId="0" xfId="0" applyFont="1" applyFill="1" applyAlignment="1"/>
    <xf numFmtId="0" fontId="31" fillId="0" borderId="0" xfId="0" applyFont="1" applyFill="1" applyAlignment="1"/>
    <xf numFmtId="0" fontId="31" fillId="0" borderId="0" xfId="0" applyFont="1" applyFill="1" applyAlignment="1">
      <alignment horizontal="right" wrapText="1"/>
    </xf>
    <xf numFmtId="0" fontId="7" fillId="0" borderId="0" xfId="0" applyFont="1" applyAlignment="1"/>
    <xf numFmtId="1" fontId="31" fillId="0" borderId="0" xfId="0" applyNumberFormat="1" applyFont="1" applyFill="1" applyBorder="1" applyAlignment="1"/>
    <xf numFmtId="1" fontId="31" fillId="0" borderId="0" xfId="0" applyNumberFormat="1" applyFont="1" applyFill="1" applyAlignment="1">
      <alignment horizontal="center"/>
    </xf>
    <xf numFmtId="166" fontId="31" fillId="0" borderId="0" xfId="1" applyNumberFormat="1" applyFont="1" applyFill="1" applyBorder="1" applyAlignment="1"/>
    <xf numFmtId="37" fontId="31" fillId="0" borderId="0" xfId="1" applyNumberFormat="1" applyFont="1" applyFill="1" applyBorder="1" applyAlignment="1">
      <alignment horizontal="center"/>
    </xf>
    <xf numFmtId="0" fontId="7" fillId="0" borderId="6" xfId="0" applyFont="1" applyFill="1" applyBorder="1"/>
    <xf numFmtId="0" fontId="7" fillId="0" borderId="6" xfId="0" applyFont="1" applyFill="1" applyBorder="1" applyAlignment="1">
      <alignment horizontal="center"/>
    </xf>
    <xf numFmtId="164" fontId="7" fillId="0" borderId="2" xfId="1" applyNumberFormat="1" applyFont="1" applyFill="1" applyBorder="1" applyAlignment="1">
      <alignment horizontal="right"/>
    </xf>
    <xf numFmtId="0" fontId="7" fillId="0" borderId="0" xfId="0" applyFont="1" applyFill="1" applyBorder="1" applyAlignment="1">
      <alignment vertical="top"/>
    </xf>
    <xf numFmtId="164" fontId="7" fillId="0" borderId="0" xfId="1" applyNumberFormat="1" applyFont="1" applyFill="1" applyBorder="1" applyAlignment="1">
      <alignment horizontal="right" vertical="top"/>
    </xf>
    <xf numFmtId="0" fontId="7" fillId="0" borderId="0" xfId="0" applyFont="1" applyFill="1" applyBorder="1" applyAlignment="1">
      <alignment horizontal="left" vertical="top" wrapText="1"/>
    </xf>
    <xf numFmtId="164" fontId="31" fillId="0" borderId="2" xfId="1" applyNumberFormat="1" applyFont="1" applyFill="1" applyBorder="1" applyAlignment="1">
      <alignment horizontal="right"/>
    </xf>
    <xf numFmtId="0" fontId="7" fillId="0" borderId="1" xfId="0" applyFont="1" applyFill="1" applyBorder="1" applyAlignment="1">
      <alignment vertical="top"/>
    </xf>
    <xf numFmtId="0" fontId="7" fillId="0" borderId="1" xfId="0" applyFont="1" applyFill="1" applyBorder="1" applyAlignment="1">
      <alignment horizontal="center"/>
    </xf>
    <xf numFmtId="164" fontId="31" fillId="0" borderId="16" xfId="1" applyNumberFormat="1" applyFont="1" applyFill="1" applyBorder="1" applyAlignment="1">
      <alignment horizontal="right"/>
    </xf>
    <xf numFmtId="166" fontId="31" fillId="0" borderId="0" xfId="1" applyNumberFormat="1" applyFont="1" applyFill="1" applyBorder="1" applyAlignment="1">
      <alignment horizontal="right"/>
    </xf>
    <xf numFmtId="1" fontId="31" fillId="0" borderId="0" xfId="0" applyNumberFormat="1" applyFont="1" applyFill="1" applyBorder="1" applyAlignment="1">
      <alignment horizontal="right"/>
    </xf>
    <xf numFmtId="0" fontId="82" fillId="0" borderId="0" xfId="0" applyFont="1" applyFill="1" applyBorder="1" applyAlignment="1">
      <alignment vertical="top"/>
    </xf>
    <xf numFmtId="0" fontId="7" fillId="0" borderId="0" xfId="0" applyFont="1" applyFill="1" applyBorder="1" applyAlignment="1">
      <alignment horizontal="left" vertical="top"/>
    </xf>
    <xf numFmtId="0" fontId="7" fillId="0" borderId="0" xfId="0" applyFont="1" applyFill="1" applyAlignment="1">
      <alignment horizontal="left" vertical="top" wrapText="1"/>
    </xf>
    <xf numFmtId="0" fontId="31" fillId="0" borderId="0" xfId="0" applyFont="1" applyFill="1" applyBorder="1" applyAlignment="1">
      <alignment wrapText="1"/>
    </xf>
    <xf numFmtId="0" fontId="31" fillId="0" borderId="0" xfId="0" applyFont="1" applyFill="1" applyAlignment="1">
      <alignment wrapText="1"/>
    </xf>
    <xf numFmtId="0" fontId="7" fillId="0" borderId="0" xfId="0" applyFont="1" applyFill="1" applyAlignment="1">
      <alignment wrapText="1"/>
    </xf>
    <xf numFmtId="49" fontId="7" fillId="0" borderId="0" xfId="0" applyNumberFormat="1" applyFont="1" applyFill="1" applyAlignment="1">
      <alignment vertical="top"/>
    </xf>
    <xf numFmtId="49" fontId="7" fillId="0" borderId="0" xfId="0" applyNumberFormat="1" applyFont="1" applyFill="1" applyAlignment="1">
      <alignment vertical="top" wrapText="1"/>
    </xf>
    <xf numFmtId="49" fontId="7" fillId="0" borderId="0" xfId="0" quotePrefix="1" applyNumberFormat="1" applyFont="1" applyFill="1" applyAlignment="1">
      <alignment vertical="top"/>
    </xf>
    <xf numFmtId="0" fontId="124" fillId="0" borderId="0" xfId="0" applyFont="1" applyFill="1" applyAlignment="1">
      <alignment horizontal="left" vertical="top"/>
    </xf>
    <xf numFmtId="0" fontId="124" fillId="0" borderId="0" xfId="0" applyFont="1" applyFill="1" applyAlignment="1">
      <alignment horizontal="left" vertical="top" wrapText="1"/>
    </xf>
    <xf numFmtId="0" fontId="32" fillId="0" borderId="0" xfId="0" applyFont="1" applyFill="1" applyBorder="1" applyAlignment="1">
      <alignment vertical="top" wrapText="1"/>
    </xf>
    <xf numFmtId="0" fontId="32" fillId="0" borderId="0" xfId="0" applyFont="1" applyFill="1" applyBorder="1" applyAlignment="1">
      <alignment wrapText="1"/>
    </xf>
    <xf numFmtId="0" fontId="7" fillId="8" borderId="0" xfId="0" applyFont="1" applyFill="1" applyAlignment="1">
      <alignment wrapText="1"/>
    </xf>
    <xf numFmtId="0" fontId="123" fillId="0" borderId="0" xfId="0" applyFont="1" applyFill="1" applyAlignment="1">
      <alignment horizontal="left" vertical="top" wrapText="1"/>
    </xf>
    <xf numFmtId="0" fontId="32" fillId="0" borderId="0" xfId="0" applyFont="1" applyFill="1" applyAlignment="1">
      <alignment vertical="top" wrapText="1"/>
    </xf>
    <xf numFmtId="0" fontId="32" fillId="8" borderId="0" xfId="0" applyFont="1" applyFill="1" applyAlignment="1">
      <alignment vertical="top" wrapText="1"/>
    </xf>
    <xf numFmtId="0" fontId="7" fillId="6" borderId="0" xfId="0" applyFont="1" applyFill="1" applyAlignment="1">
      <alignment horizontal="left" vertical="top" wrapText="1"/>
    </xf>
    <xf numFmtId="0" fontId="32" fillId="6" borderId="0" xfId="0" applyFont="1" applyFill="1" applyAlignment="1">
      <alignment horizontal="left" vertical="top"/>
    </xf>
    <xf numFmtId="0" fontId="7" fillId="6" borderId="0" xfId="0" applyFont="1" applyFill="1" applyAlignment="1">
      <alignment horizontal="left" vertical="top"/>
    </xf>
    <xf numFmtId="0" fontId="7" fillId="0" borderId="20" xfId="0" applyFont="1" applyFill="1" applyBorder="1" applyAlignment="1">
      <alignment vertical="top" wrapText="1"/>
    </xf>
    <xf numFmtId="0" fontId="7" fillId="0" borderId="21" xfId="0" applyFont="1" applyFill="1" applyBorder="1" applyAlignment="1">
      <alignment vertical="top" wrapText="1"/>
    </xf>
    <xf numFmtId="0" fontId="127" fillId="0" borderId="20" xfId="0" applyFont="1" applyBorder="1" applyAlignment="1"/>
    <xf numFmtId="0" fontId="127" fillId="11" borderId="0" xfId="0" applyFont="1" applyFill="1" applyBorder="1" applyAlignment="1"/>
    <xf numFmtId="0" fontId="127" fillId="0" borderId="21" xfId="0" applyFont="1" applyBorder="1" applyAlignment="1">
      <alignment horizontal="justify"/>
    </xf>
    <xf numFmtId="0" fontId="127" fillId="0" borderId="0" xfId="0" applyFont="1" applyBorder="1" applyAlignment="1">
      <alignment horizontal="left"/>
    </xf>
    <xf numFmtId="0" fontId="127" fillId="0" borderId="22" xfId="0" applyFont="1" applyBorder="1" applyAlignment="1">
      <alignment horizontal="left"/>
    </xf>
    <xf numFmtId="0" fontId="127" fillId="0" borderId="32" xfId="0" applyFont="1" applyBorder="1" applyAlignment="1">
      <alignment horizontal="left"/>
    </xf>
    <xf numFmtId="0" fontId="127" fillId="0" borderId="23" xfId="0" applyFont="1" applyBorder="1" applyAlignment="1">
      <alignment horizontal="justify"/>
    </xf>
    <xf numFmtId="0" fontId="31" fillId="11" borderId="0" xfId="6" applyFont="1" applyFill="1" applyAlignment="1">
      <alignment horizontal="right"/>
    </xf>
    <xf numFmtId="0" fontId="31" fillId="0" borderId="0" xfId="5" applyFont="1" applyFill="1"/>
    <xf numFmtId="0" fontId="82" fillId="0" borderId="0" xfId="5" applyFont="1" applyFill="1" applyAlignment="1">
      <alignment vertical="top" wrapText="1"/>
    </xf>
    <xf numFmtId="0" fontId="82" fillId="0" borderId="0" xfId="5" applyFont="1" applyFill="1" applyAlignment="1">
      <alignment horizontal="left" vertical="top" wrapText="1"/>
    </xf>
    <xf numFmtId="0" fontId="31" fillId="0" borderId="0" xfId="5" applyFont="1" applyFill="1" applyAlignment="1">
      <alignment horizontal="left" vertical="top" wrapText="1"/>
    </xf>
    <xf numFmtId="0" fontId="7" fillId="0" borderId="0" xfId="5" applyFont="1" applyFill="1" applyAlignment="1">
      <alignment horizontal="left" vertical="top" wrapText="1"/>
    </xf>
    <xf numFmtId="0" fontId="31" fillId="0" borderId="0" xfId="0" applyFont="1"/>
    <xf numFmtId="0" fontId="31" fillId="0" borderId="0" xfId="6" applyFont="1" applyFill="1" applyAlignment="1">
      <alignment horizontal="right"/>
    </xf>
    <xf numFmtId="0" fontId="23" fillId="0" borderId="0" xfId="5" applyFont="1" applyFill="1"/>
    <xf numFmtId="0" fontId="32" fillId="0" borderId="0" xfId="5" applyFont="1" applyFill="1"/>
    <xf numFmtId="0" fontId="7" fillId="0" borderId="10" xfId="5" applyFont="1" applyFill="1" applyBorder="1"/>
    <xf numFmtId="0" fontId="7" fillId="0" borderId="11" xfId="5" applyFont="1" applyFill="1" applyBorder="1"/>
    <xf numFmtId="0" fontId="31" fillId="0" borderId="19" xfId="5" applyFont="1" applyFill="1" applyBorder="1" applyAlignment="1">
      <alignment horizontal="center"/>
    </xf>
    <xf numFmtId="0" fontId="31" fillId="0" borderId="19" xfId="5" applyFont="1" applyFill="1" applyBorder="1" applyAlignment="1">
      <alignment horizontal="center" wrapText="1"/>
    </xf>
    <xf numFmtId="0" fontId="7" fillId="0" borderId="14" xfId="5" applyFont="1" applyFill="1" applyBorder="1"/>
    <xf numFmtId="0" fontId="7" fillId="0" borderId="15" xfId="5" applyFont="1" applyFill="1" applyBorder="1"/>
    <xf numFmtId="0" fontId="31" fillId="0" borderId="18" xfId="5" quotePrefix="1" applyFont="1" applyFill="1" applyBorder="1" applyAlignment="1">
      <alignment horizontal="center"/>
    </xf>
    <xf numFmtId="0" fontId="23" fillId="0" borderId="0" xfId="5" applyFont="1" applyFill="1" applyBorder="1"/>
    <xf numFmtId="0" fontId="23" fillId="0" borderId="0" xfId="0" applyFont="1" applyFill="1"/>
    <xf numFmtId="43" fontId="7" fillId="0" borderId="13" xfId="5" applyNumberFormat="1" applyFont="1" applyFill="1" applyBorder="1"/>
    <xf numFmtId="43" fontId="7" fillId="0" borderId="0" xfId="5" applyNumberFormat="1" applyFont="1" applyFill="1"/>
    <xf numFmtId="43" fontId="7" fillId="0" borderId="17" xfId="5" applyNumberFormat="1" applyFont="1" applyFill="1" applyBorder="1"/>
    <xf numFmtId="0" fontId="7" fillId="0" borderId="18" xfId="5" applyFont="1" applyFill="1" applyBorder="1"/>
    <xf numFmtId="0" fontId="31" fillId="0" borderId="10" xfId="5" applyFont="1" applyFill="1" applyBorder="1"/>
    <xf numFmtId="0" fontId="31" fillId="0" borderId="11" xfId="5" applyFont="1" applyFill="1" applyBorder="1"/>
    <xf numFmtId="0" fontId="31" fillId="0" borderId="6" xfId="5" applyFont="1" applyFill="1" applyBorder="1"/>
    <xf numFmtId="0" fontId="31" fillId="0" borderId="19" xfId="5" applyFont="1" applyFill="1" applyBorder="1"/>
    <xf numFmtId="0" fontId="31" fillId="0" borderId="12" xfId="5" applyFont="1" applyFill="1" applyBorder="1"/>
    <xf numFmtId="0" fontId="31" fillId="0" borderId="13" xfId="5" applyFont="1" applyFill="1" applyBorder="1"/>
    <xf numFmtId="43" fontId="31" fillId="0" borderId="17" xfId="5" applyNumberFormat="1" applyFont="1" applyFill="1" applyBorder="1"/>
    <xf numFmtId="0" fontId="31" fillId="0" borderId="14" xfId="5" applyFont="1" applyFill="1" applyBorder="1"/>
    <xf numFmtId="0" fontId="31" fillId="0" borderId="15" xfId="5" applyFont="1" applyFill="1" applyBorder="1"/>
    <xf numFmtId="43" fontId="31" fillId="0" borderId="15" xfId="5" applyNumberFormat="1" applyFont="1" applyFill="1" applyBorder="1"/>
    <xf numFmtId="0" fontId="7" fillId="0" borderId="0" xfId="5" applyFont="1" applyFill="1" applyBorder="1"/>
    <xf numFmtId="0" fontId="32" fillId="0" borderId="0" xfId="5" applyFont="1" applyFill="1" applyBorder="1"/>
    <xf numFmtId="0" fontId="23" fillId="0" borderId="0" xfId="5" applyFont="1" applyFill="1" applyAlignment="1">
      <alignment horizontal="right"/>
    </xf>
    <xf numFmtId="1" fontId="7" fillId="11" borderId="0" xfId="5" applyNumberFormat="1" applyFont="1" applyFill="1" applyAlignment="1">
      <alignment horizontal="center"/>
    </xf>
    <xf numFmtId="1" fontId="7" fillId="11" borderId="0" xfId="5" quotePrefix="1" applyNumberFormat="1" applyFont="1" applyFill="1" applyAlignment="1">
      <alignment horizontal="center"/>
    </xf>
    <xf numFmtId="0" fontId="7" fillId="0" borderId="1" xfId="5" applyFont="1" applyFill="1" applyBorder="1"/>
    <xf numFmtId="43" fontId="7" fillId="0" borderId="1" xfId="5" applyNumberFormat="1" applyFont="1" applyFill="1" applyBorder="1"/>
    <xf numFmtId="0" fontId="31" fillId="0" borderId="16" xfId="5" applyFont="1" applyFill="1" applyBorder="1"/>
    <xf numFmtId="43" fontId="31" fillId="0" borderId="16" xfId="5" applyNumberFormat="1" applyFont="1" applyFill="1" applyBorder="1"/>
    <xf numFmtId="0" fontId="23" fillId="0" borderId="0" xfId="0" applyFont="1" applyFill="1" applyAlignment="1">
      <alignment horizontal="right"/>
    </xf>
    <xf numFmtId="0" fontId="31" fillId="0" borderId="0" xfId="0" applyFont="1" applyFill="1" applyAlignment="1">
      <alignment horizontal="right"/>
    </xf>
    <xf numFmtId="0" fontId="32" fillId="0" borderId="0" xfId="0" applyFont="1" applyFill="1"/>
    <xf numFmtId="0" fontId="7" fillId="8" borderId="0" xfId="0" applyFont="1" applyFill="1"/>
    <xf numFmtId="0" fontId="7" fillId="11" borderId="0" xfId="0" applyFont="1" applyFill="1"/>
    <xf numFmtId="0" fontId="129" fillId="0" borderId="0" xfId="0" quotePrefix="1" applyFont="1" applyFill="1" applyBorder="1" applyAlignment="1">
      <alignment horizontal="left"/>
    </xf>
    <xf numFmtId="0" fontId="130" fillId="0" borderId="0" xfId="0" applyFont="1" applyFill="1" applyBorder="1"/>
    <xf numFmtId="1" fontId="131" fillId="0" borderId="0" xfId="0" applyNumberFormat="1" applyFont="1" applyFill="1" applyAlignment="1">
      <alignment horizontal="right" wrapText="1"/>
    </xf>
    <xf numFmtId="0" fontId="131" fillId="0" borderId="0" xfId="0" applyFont="1" applyFill="1" applyBorder="1" applyAlignment="1">
      <alignment horizontal="right"/>
    </xf>
    <xf numFmtId="0" fontId="130" fillId="0" borderId="0" xfId="0" applyFont="1" applyFill="1"/>
    <xf numFmtId="0" fontId="131" fillId="0" borderId="0" xfId="0" applyFont="1" applyFill="1" applyAlignment="1">
      <alignment horizontal="left"/>
    </xf>
    <xf numFmtId="0" fontId="131" fillId="0" borderId="0" xfId="0" applyFont="1" applyFill="1"/>
    <xf numFmtId="1" fontId="131" fillId="0" borderId="0" xfId="0" applyNumberFormat="1" applyFont="1" applyFill="1" applyBorder="1" applyAlignment="1">
      <alignment horizontal="right"/>
    </xf>
    <xf numFmtId="0" fontId="131" fillId="0" borderId="0" xfId="0" quotePrefix="1" applyFont="1" applyFill="1" applyBorder="1" applyAlignment="1">
      <alignment horizontal="right"/>
    </xf>
    <xf numFmtId="0" fontId="131" fillId="0" borderId="0" xfId="0" applyFont="1" applyFill="1" applyAlignment="1"/>
    <xf numFmtId="0" fontId="131" fillId="0" borderId="0" xfId="0" applyFont="1" applyFill="1" applyBorder="1" applyAlignment="1">
      <alignment horizontal="left"/>
    </xf>
    <xf numFmtId="37" fontId="130" fillId="0" borderId="0" xfId="0" applyNumberFormat="1" applyFont="1" applyFill="1"/>
    <xf numFmtId="0" fontId="130" fillId="0" borderId="0" xfId="0" applyFont="1" applyFill="1" applyAlignment="1">
      <alignment horizontal="left"/>
    </xf>
    <xf numFmtId="166" fontId="130" fillId="0" borderId="0" xfId="0" applyNumberFormat="1" applyFont="1" applyFill="1"/>
    <xf numFmtId="166" fontId="130" fillId="0" borderId="0" xfId="0" applyNumberFormat="1" applyFont="1" applyFill="1" applyBorder="1"/>
    <xf numFmtId="0" fontId="130" fillId="0" borderId="0" xfId="0" applyFont="1" applyFill="1" applyAlignment="1"/>
    <xf numFmtId="164" fontId="130" fillId="0" borderId="0" xfId="1" applyNumberFormat="1" applyFont="1" applyFill="1" applyAlignment="1">
      <alignment horizontal="right" vertical="justify"/>
    </xf>
    <xf numFmtId="166" fontId="130" fillId="0" borderId="0" xfId="0" applyNumberFormat="1" applyFont="1" applyFill="1" applyBorder="1" applyAlignment="1">
      <alignment horizontal="right"/>
    </xf>
    <xf numFmtId="166" fontId="130" fillId="0" borderId="0" xfId="1" applyNumberFormat="1" applyFont="1" applyFill="1" applyBorder="1" applyAlignment="1">
      <alignment horizontal="right" vertical="justify"/>
    </xf>
    <xf numFmtId="164" fontId="130" fillId="0" borderId="0" xfId="0" applyNumberFormat="1" applyFont="1" applyFill="1" applyAlignment="1">
      <alignment horizontal="right" vertical="justify"/>
    </xf>
    <xf numFmtId="164" fontId="131" fillId="0" borderId="2" xfId="1" applyNumberFormat="1" applyFont="1" applyFill="1" applyBorder="1" applyAlignment="1">
      <alignment horizontal="right" vertical="justify"/>
    </xf>
    <xf numFmtId="164" fontId="130" fillId="0" borderId="0" xfId="0" applyNumberFormat="1" applyFont="1" applyFill="1"/>
    <xf numFmtId="0" fontId="130" fillId="0" borderId="0" xfId="0" applyFont="1" applyFill="1" applyAlignment="1">
      <alignment horizontal="left" vertical="top" wrapText="1"/>
    </xf>
    <xf numFmtId="0" fontId="131" fillId="13" borderId="3" xfId="0" applyFont="1" applyFill="1" applyBorder="1" applyAlignment="1">
      <alignment vertical="top"/>
    </xf>
    <xf numFmtId="0" fontId="130" fillId="12" borderId="4" xfId="0" applyFont="1" applyFill="1" applyBorder="1" applyAlignment="1">
      <alignment horizontal="left" vertical="top" wrapText="1"/>
    </xf>
    <xf numFmtId="0" fontId="130" fillId="12" borderId="5" xfId="0" applyFont="1" applyFill="1" applyBorder="1" applyAlignment="1">
      <alignment horizontal="left" vertical="top" wrapText="1"/>
    </xf>
    <xf numFmtId="166" fontId="130" fillId="0" borderId="0" xfId="0" applyNumberFormat="1" applyFont="1" applyFill="1" applyAlignment="1">
      <alignment horizontal="right"/>
    </xf>
    <xf numFmtId="166" fontId="131" fillId="0" borderId="0" xfId="1" applyNumberFormat="1" applyFont="1" applyFill="1" applyBorder="1" applyAlignment="1">
      <alignment horizontal="right" vertical="justify"/>
    </xf>
    <xf numFmtId="164" fontId="131" fillId="0" borderId="0" xfId="1" applyNumberFormat="1" applyFont="1" applyFill="1" applyBorder="1" applyAlignment="1">
      <alignment horizontal="right" vertical="justify"/>
    </xf>
    <xf numFmtId="164" fontId="130" fillId="0" borderId="0" xfId="1" applyNumberFormat="1" applyFont="1" applyFill="1" applyAlignment="1">
      <alignment horizontal="right"/>
    </xf>
    <xf numFmtId="164" fontId="130" fillId="0" borderId="0" xfId="1" applyNumberFormat="1" applyFont="1" applyFill="1" applyBorder="1" applyAlignment="1">
      <alignment horizontal="right"/>
    </xf>
    <xf numFmtId="164" fontId="130" fillId="0" borderId="0" xfId="0" applyNumberFormat="1" applyFont="1" applyFill="1" applyAlignment="1">
      <alignment horizontal="right"/>
    </xf>
    <xf numFmtId="164" fontId="130" fillId="0" borderId="0" xfId="0" applyNumberFormat="1" applyFont="1" applyFill="1" applyBorder="1" applyAlignment="1">
      <alignment horizontal="right"/>
    </xf>
    <xf numFmtId="164" fontId="131" fillId="0" borderId="2" xfId="1" applyNumberFormat="1" applyFont="1" applyFill="1" applyBorder="1" applyAlignment="1">
      <alignment horizontal="right"/>
    </xf>
    <xf numFmtId="164" fontId="131" fillId="0" borderId="0" xfId="1" applyNumberFormat="1" applyFont="1" applyFill="1" applyBorder="1" applyAlignment="1">
      <alignment horizontal="right"/>
    </xf>
    <xf numFmtId="0" fontId="130" fillId="0" borderId="0" xfId="0" applyFont="1" applyFill="1" applyAlignment="1">
      <alignment horizontal="left" vertical="top"/>
    </xf>
    <xf numFmtId="166" fontId="130" fillId="0" borderId="0" xfId="1" applyNumberFormat="1" applyFont="1" applyFill="1" applyAlignment="1">
      <alignment horizontal="right"/>
    </xf>
    <xf numFmtId="166" fontId="130" fillId="0" borderId="0" xfId="1" applyNumberFormat="1" applyFont="1" applyFill="1" applyBorder="1" applyAlignment="1">
      <alignment horizontal="right"/>
    </xf>
    <xf numFmtId="0" fontId="131" fillId="0" borderId="0" xfId="0" applyFont="1" applyFill="1" applyAlignment="1">
      <alignment horizontal="left" vertical="top"/>
    </xf>
    <xf numFmtId="0" fontId="133" fillId="0" borderId="0" xfId="3" applyFont="1" applyFill="1" applyAlignment="1">
      <alignment horizontal="left" vertical="top"/>
    </xf>
    <xf numFmtId="166" fontId="131" fillId="0" borderId="2" xfId="0" applyNumberFormat="1" applyFont="1" applyFill="1" applyBorder="1" applyAlignment="1">
      <alignment horizontal="right"/>
    </xf>
    <xf numFmtId="0" fontId="131" fillId="0" borderId="0" xfId="0" applyFont="1" applyFill="1" applyBorder="1"/>
    <xf numFmtId="166" fontId="134" fillId="0" borderId="0" xfId="0" applyNumberFormat="1" applyFont="1" applyFill="1" applyAlignment="1">
      <alignment horizontal="right" vertical="top" wrapText="1"/>
    </xf>
    <xf numFmtId="166" fontId="134" fillId="0" borderId="0" xfId="0" applyNumberFormat="1" applyFont="1" applyFill="1" applyAlignment="1">
      <alignment horizontal="justify" vertical="top" wrapText="1"/>
    </xf>
    <xf numFmtId="0" fontId="134" fillId="0" borderId="0" xfId="0" applyFont="1" applyFill="1" applyAlignment="1">
      <alignment horizontal="justify" vertical="top" wrapText="1"/>
    </xf>
    <xf numFmtId="0" fontId="130" fillId="0" borderId="0" xfId="0" applyFont="1" applyFill="1" applyAlignment="1">
      <alignment wrapText="1"/>
    </xf>
    <xf numFmtId="164" fontId="130" fillId="0" borderId="0" xfId="1" applyNumberFormat="1" applyFont="1" applyFill="1" applyAlignment="1">
      <alignment horizontal="right" wrapText="1"/>
    </xf>
    <xf numFmtId="164" fontId="130" fillId="0" borderId="0" xfId="1" applyNumberFormat="1" applyFont="1" applyFill="1" applyBorder="1" applyAlignment="1">
      <alignment horizontal="right" wrapText="1"/>
    </xf>
    <xf numFmtId="0" fontId="130" fillId="0" borderId="0" xfId="0" applyFont="1" applyFill="1" applyAlignment="1">
      <alignment horizontal="justify"/>
    </xf>
    <xf numFmtId="0" fontId="130" fillId="11" borderId="0" xfId="0" applyFont="1" applyFill="1" applyAlignment="1">
      <alignment horizontal="left"/>
    </xf>
    <xf numFmtId="0" fontId="130" fillId="11" borderId="0" xfId="0" applyFont="1" applyFill="1"/>
    <xf numFmtId="0" fontId="133" fillId="11" borderId="0" xfId="3" applyFont="1" applyFill="1" applyAlignment="1">
      <alignment horizontal="left" vertical="top"/>
    </xf>
    <xf numFmtId="164" fontId="130" fillId="0" borderId="0" xfId="0" applyNumberFormat="1" applyFont="1" applyFill="1" applyBorder="1" applyAlignment="1"/>
    <xf numFmtId="0" fontId="134" fillId="0" borderId="0" xfId="0" applyFont="1" applyFill="1" applyAlignment="1">
      <alignment horizontal="justify"/>
    </xf>
    <xf numFmtId="164" fontId="131" fillId="0" borderId="0" xfId="0" applyNumberFormat="1" applyFont="1" applyFill="1" applyBorder="1" applyAlignment="1">
      <alignment horizontal="right"/>
    </xf>
    <xf numFmtId="164" fontId="131" fillId="0" borderId="0" xfId="0" applyNumberFormat="1" applyFont="1"/>
    <xf numFmtId="164" fontId="134" fillId="0" borderId="0" xfId="0" applyNumberFormat="1" applyFont="1" applyFill="1" applyAlignment="1">
      <alignment horizontal="justify" vertical="top" wrapText="1"/>
    </xf>
    <xf numFmtId="164" fontId="131" fillId="0" borderId="2" xfId="0" applyNumberFormat="1" applyFont="1" applyFill="1" applyBorder="1" applyAlignment="1"/>
    <xf numFmtId="164" fontId="131" fillId="0" borderId="0" xfId="0" applyNumberFormat="1" applyFont="1" applyFill="1" applyBorder="1" applyAlignment="1"/>
    <xf numFmtId="0" fontId="135" fillId="0" borderId="0" xfId="0" applyFont="1" applyFill="1" applyAlignment="1">
      <alignment horizontal="left"/>
    </xf>
    <xf numFmtId="0" fontId="134" fillId="0" borderId="0" xfId="0" applyFont="1" applyFill="1" applyAlignment="1">
      <alignment horizontal="left"/>
    </xf>
    <xf numFmtId="164" fontId="131" fillId="0" borderId="0" xfId="0" applyNumberFormat="1" applyFont="1" applyFill="1" applyBorder="1" applyAlignment="1">
      <alignment horizontal="left"/>
    </xf>
    <xf numFmtId="0" fontId="136" fillId="0" borderId="0" xfId="0" applyFont="1" applyFill="1" applyAlignment="1">
      <alignment horizontal="justify" vertical="top" wrapText="1"/>
    </xf>
    <xf numFmtId="0" fontId="130" fillId="0" borderId="0" xfId="0" applyFont="1" applyFill="1" applyAlignment="1">
      <alignment vertical="top"/>
    </xf>
    <xf numFmtId="0" fontId="131" fillId="0" borderId="0" xfId="2" applyFont="1" applyFill="1" applyAlignment="1" applyProtection="1">
      <alignment horizontal="left"/>
    </xf>
    <xf numFmtId="166" fontId="130" fillId="0" borderId="0" xfId="1" applyNumberFormat="1" applyFont="1" applyFill="1" applyAlignment="1">
      <alignment horizontal="right" wrapText="1"/>
    </xf>
    <xf numFmtId="166" fontId="130" fillId="0" borderId="0" xfId="1" applyNumberFormat="1" applyFont="1" applyFill="1" applyBorder="1" applyAlignment="1">
      <alignment horizontal="right" wrapText="1"/>
    </xf>
    <xf numFmtId="164" fontId="130" fillId="0" borderId="1" xfId="1" applyNumberFormat="1" applyFont="1" applyFill="1" applyBorder="1" applyAlignment="1">
      <alignment horizontal="right" wrapText="1"/>
    </xf>
    <xf numFmtId="164" fontId="131" fillId="0" borderId="2" xfId="1" applyNumberFormat="1" applyFont="1" applyFill="1" applyBorder="1" applyAlignment="1">
      <alignment horizontal="right" wrapText="1"/>
    </xf>
    <xf numFmtId="164" fontId="131" fillId="0" borderId="0" xfId="1" applyNumberFormat="1" applyFont="1" applyFill="1" applyBorder="1" applyAlignment="1">
      <alignment horizontal="right" wrapText="1"/>
    </xf>
    <xf numFmtId="164" fontId="131" fillId="0" borderId="2" xfId="0" applyNumberFormat="1" applyFont="1" applyFill="1" applyBorder="1" applyAlignment="1">
      <alignment horizontal="right" wrapText="1"/>
    </xf>
    <xf numFmtId="164" fontId="131" fillId="0" borderId="0" xfId="0" applyNumberFormat="1" applyFont="1" applyFill="1" applyBorder="1" applyAlignment="1">
      <alignment horizontal="right" wrapText="1"/>
    </xf>
    <xf numFmtId="0" fontId="130" fillId="0" borderId="0" xfId="0" applyFont="1" applyFill="1" applyAlignment="1">
      <alignment horizontal="justify" vertical="top" wrapText="1"/>
    </xf>
    <xf numFmtId="164" fontId="131" fillId="0" borderId="2" xfId="0" applyNumberFormat="1" applyFont="1" applyFill="1" applyBorder="1" applyAlignment="1">
      <alignment horizontal="right"/>
    </xf>
    <xf numFmtId="0" fontId="131" fillId="12" borderId="3" xfId="0" applyFont="1" applyFill="1" applyBorder="1" applyAlignment="1">
      <alignment horizontal="left" vertical="top"/>
    </xf>
    <xf numFmtId="0" fontId="130" fillId="12" borderId="4" xfId="0" applyFont="1" applyFill="1" applyBorder="1" applyAlignment="1">
      <alignment horizontal="left" vertical="top"/>
    </xf>
    <xf numFmtId="0" fontId="130" fillId="12" borderId="5" xfId="0" applyFont="1" applyFill="1" applyBorder="1" applyAlignment="1">
      <alignment horizontal="left" vertical="top"/>
    </xf>
    <xf numFmtId="0" fontId="131" fillId="12" borderId="28" xfId="0" applyFont="1" applyFill="1" applyBorder="1" applyAlignment="1">
      <alignment horizontal="left" vertical="top"/>
    </xf>
    <xf numFmtId="0" fontId="130" fillId="12" borderId="0" xfId="0" applyFont="1" applyFill="1" applyBorder="1" applyAlignment="1">
      <alignment horizontal="left" vertical="top"/>
    </xf>
    <xf numFmtId="0" fontId="130" fillId="12" borderId="24" xfId="0" applyFont="1" applyFill="1" applyBorder="1" applyAlignment="1">
      <alignment horizontal="left" vertical="top"/>
    </xf>
    <xf numFmtId="0" fontId="130" fillId="12" borderId="25" xfId="0" applyFont="1" applyFill="1" applyBorder="1" applyAlignment="1">
      <alignment vertical="top"/>
    </xf>
    <xf numFmtId="0" fontId="130" fillId="12" borderId="26" xfId="0" applyFont="1" applyFill="1" applyBorder="1" applyAlignment="1">
      <alignment vertical="top"/>
    </xf>
    <xf numFmtId="0" fontId="130" fillId="12" borderId="27" xfId="0" applyFont="1" applyFill="1" applyBorder="1" applyAlignment="1">
      <alignment vertical="top"/>
    </xf>
    <xf numFmtId="0" fontId="130" fillId="0" borderId="0" xfId="0" applyFont="1" applyAlignment="1">
      <alignment horizontal="left" vertical="top"/>
    </xf>
    <xf numFmtId="0" fontId="130" fillId="6" borderId="0" xfId="0" applyFont="1" applyFill="1" applyAlignment="1">
      <alignment horizontal="left" vertical="top"/>
    </xf>
    <xf numFmtId="0" fontId="130" fillId="6" borderId="0" xfId="0" applyFont="1" applyFill="1"/>
    <xf numFmtId="164" fontId="130" fillId="6" borderId="0" xfId="0" applyNumberFormat="1" applyFont="1" applyFill="1" applyAlignment="1">
      <alignment horizontal="right"/>
    </xf>
    <xf numFmtId="164" fontId="130" fillId="6" borderId="0" xfId="0" applyNumberFormat="1" applyFont="1" applyFill="1" applyBorder="1" applyAlignment="1">
      <alignment horizontal="right"/>
    </xf>
    <xf numFmtId="0" fontId="131" fillId="0" borderId="0" xfId="0" applyFont="1" applyFill="1" applyAlignment="1">
      <alignment horizontal="justify" vertical="top" wrapText="1"/>
    </xf>
    <xf numFmtId="0" fontId="131" fillId="6" borderId="28" xfId="0" applyFont="1" applyFill="1" applyBorder="1" applyAlignment="1">
      <alignment horizontal="left" vertical="top"/>
    </xf>
    <xf numFmtId="0" fontId="130" fillId="6" borderId="0" xfId="0" applyFont="1" applyFill="1" applyBorder="1" applyAlignment="1">
      <alignment horizontal="left" vertical="top" wrapText="1"/>
    </xf>
    <xf numFmtId="0" fontId="130" fillId="6" borderId="24" xfId="0" applyFont="1" applyFill="1" applyBorder="1" applyAlignment="1">
      <alignment horizontal="left" vertical="top" wrapText="1"/>
    </xf>
    <xf numFmtId="0" fontId="130" fillId="6" borderId="28" xfId="0" applyFont="1" applyFill="1" applyBorder="1" applyAlignment="1">
      <alignment horizontal="left" vertical="top" wrapText="1"/>
    </xf>
    <xf numFmtId="0" fontId="130" fillId="6" borderId="28" xfId="0" applyFont="1" applyFill="1" applyBorder="1" applyAlignment="1">
      <alignment horizontal="left" vertical="top"/>
    </xf>
    <xf numFmtId="0" fontId="130" fillId="6" borderId="0" xfId="0" applyFont="1" applyFill="1" applyBorder="1" applyAlignment="1">
      <alignment horizontal="left" vertical="top"/>
    </xf>
    <xf numFmtId="0" fontId="130" fillId="6" borderId="24" xfId="0" applyFont="1" applyFill="1" applyBorder="1" applyAlignment="1">
      <alignment horizontal="left" vertical="top"/>
    </xf>
    <xf numFmtId="0" fontId="137" fillId="0" borderId="0" xfId="0" applyFont="1" applyFill="1"/>
    <xf numFmtId="0" fontId="138" fillId="0" borderId="0" xfId="0" applyFont="1" applyFill="1" applyAlignment="1">
      <alignment horizontal="left"/>
    </xf>
    <xf numFmtId="0" fontId="131" fillId="0" borderId="0" xfId="0" applyFont="1" applyFill="1" applyAlignment="1">
      <alignment horizontal="justify" vertical="top"/>
    </xf>
    <xf numFmtId="0" fontId="130" fillId="12" borderId="0" xfId="0" applyFont="1" applyFill="1" applyBorder="1" applyAlignment="1">
      <alignment horizontal="left" vertical="top" wrapText="1"/>
    </xf>
    <xf numFmtId="0" fontId="130" fillId="12" borderId="24" xfId="0" applyFont="1" applyFill="1" applyBorder="1" applyAlignment="1">
      <alignment horizontal="left" vertical="top" wrapText="1"/>
    </xf>
    <xf numFmtId="0" fontId="130" fillId="12" borderId="26" xfId="0" applyFont="1" applyFill="1" applyBorder="1" applyAlignment="1">
      <alignment vertical="top" wrapText="1"/>
    </xf>
    <xf numFmtId="0" fontId="130" fillId="12" borderId="27" xfId="0" applyFont="1" applyFill="1" applyBorder="1" applyAlignment="1">
      <alignment vertical="top" wrapText="1"/>
    </xf>
    <xf numFmtId="0" fontId="131" fillId="0" borderId="0" xfId="0" applyFont="1" applyFill="1" applyBorder="1" applyAlignment="1">
      <alignment horizontal="left" wrapText="1"/>
    </xf>
    <xf numFmtId="164" fontId="131" fillId="0" borderId="2" xfId="0" applyNumberFormat="1" applyFont="1" applyFill="1" applyBorder="1" applyAlignment="1">
      <alignment horizontal="left" wrapText="1"/>
    </xf>
    <xf numFmtId="0" fontId="137" fillId="0" borderId="0" xfId="0" applyFont="1" applyFill="1" applyBorder="1" applyAlignment="1">
      <alignment horizontal="left" wrapText="1"/>
    </xf>
    <xf numFmtId="0" fontId="137" fillId="0" borderId="0" xfId="0" applyFont="1" applyFill="1" applyBorder="1" applyAlignment="1">
      <alignment horizontal="center" vertical="top" wrapText="1"/>
    </xf>
    <xf numFmtId="0" fontId="131" fillId="12" borderId="4" xfId="0" applyFont="1" applyFill="1" applyBorder="1" applyAlignment="1">
      <alignment vertical="top" wrapText="1"/>
    </xf>
    <xf numFmtId="0" fontId="131" fillId="12" borderId="5" xfId="0" applyFont="1" applyFill="1" applyBorder="1" applyAlignment="1">
      <alignment vertical="top" wrapText="1"/>
    </xf>
    <xf numFmtId="0" fontId="131" fillId="12" borderId="0" xfId="0" applyFont="1" applyFill="1" applyBorder="1" applyAlignment="1">
      <alignment horizontal="left" vertical="top" wrapText="1"/>
    </xf>
    <xf numFmtId="0" fontId="131" fillId="12" borderId="24" xfId="0" applyFont="1" applyFill="1" applyBorder="1" applyAlignment="1">
      <alignment horizontal="left" vertical="top" wrapText="1"/>
    </xf>
    <xf numFmtId="0" fontId="130" fillId="12" borderId="25" xfId="0" applyFont="1" applyFill="1" applyBorder="1" applyAlignment="1">
      <alignment horizontal="left" vertical="top"/>
    </xf>
    <xf numFmtId="0" fontId="130" fillId="11" borderId="0" xfId="0" applyFont="1" applyFill="1" applyBorder="1" applyAlignment="1">
      <alignment horizontal="left" vertical="top"/>
    </xf>
    <xf numFmtId="0" fontId="130" fillId="11" borderId="0" xfId="0" applyFont="1" applyFill="1" applyBorder="1" applyAlignment="1">
      <alignment vertical="top" wrapText="1"/>
    </xf>
    <xf numFmtId="0" fontId="130" fillId="7" borderId="0" xfId="0" applyFont="1" applyFill="1" applyAlignment="1">
      <alignment horizontal="left"/>
    </xf>
    <xf numFmtId="164" fontId="130" fillId="0" borderId="1" xfId="1" applyNumberFormat="1" applyFont="1" applyFill="1" applyBorder="1" applyAlignment="1">
      <alignment horizontal="right"/>
    </xf>
    <xf numFmtId="0" fontId="131" fillId="12" borderId="3" xfId="0" applyFont="1" applyFill="1" applyBorder="1" applyAlignment="1">
      <alignment vertical="top"/>
    </xf>
    <xf numFmtId="0" fontId="131" fillId="12" borderId="4" xfId="0" applyFont="1" applyFill="1" applyBorder="1" applyAlignment="1">
      <alignment vertical="top"/>
    </xf>
    <xf numFmtId="0" fontId="131" fillId="12" borderId="5" xfId="0" applyFont="1" applyFill="1" applyBorder="1" applyAlignment="1">
      <alignment vertical="top"/>
    </xf>
    <xf numFmtId="0" fontId="131" fillId="12" borderId="0" xfId="0" applyFont="1" applyFill="1" applyBorder="1" applyAlignment="1">
      <alignment horizontal="left" vertical="top"/>
    </xf>
    <xf numFmtId="0" fontId="131" fillId="12" borderId="24" xfId="0" applyFont="1" applyFill="1" applyBorder="1" applyAlignment="1">
      <alignment horizontal="left" vertical="top"/>
    </xf>
    <xf numFmtId="0" fontId="140" fillId="0" borderId="0" xfId="0" applyFont="1" applyFill="1" applyAlignment="1"/>
    <xf numFmtId="0" fontId="130" fillId="0" borderId="0" xfId="0" applyFont="1" applyFill="1" applyBorder="1" applyAlignment="1">
      <alignment horizontal="left"/>
    </xf>
    <xf numFmtId="0" fontId="130" fillId="6" borderId="0" xfId="0" applyFont="1" applyFill="1" applyAlignment="1">
      <alignment horizontal="justify" vertical="top" wrapText="1"/>
    </xf>
    <xf numFmtId="0" fontId="131" fillId="12" borderId="4" xfId="0" applyFont="1" applyFill="1" applyBorder="1" applyAlignment="1">
      <alignment horizontal="left" vertical="top"/>
    </xf>
    <xf numFmtId="0" fontId="131" fillId="12" borderId="5" xfId="0" applyFont="1" applyFill="1" applyBorder="1" applyAlignment="1">
      <alignment horizontal="left" vertical="top"/>
    </xf>
    <xf numFmtId="164" fontId="130" fillId="0" borderId="0" xfId="1" applyNumberFormat="1" applyFont="1" applyFill="1" applyBorder="1" applyAlignment="1">
      <alignment horizontal="right" vertical="top" wrapText="1"/>
    </xf>
    <xf numFmtId="0" fontId="131" fillId="0" borderId="0" xfId="0" applyFont="1" applyFill="1" applyAlignment="1">
      <alignment horizontal="left" wrapText="1"/>
    </xf>
    <xf numFmtId="0" fontId="134" fillId="0" borderId="0" xfId="0" applyFont="1" applyFill="1" applyAlignment="1"/>
    <xf numFmtId="0" fontId="130" fillId="0" borderId="0" xfId="0" applyFont="1" applyFill="1" applyAlignment="1">
      <alignment horizontal="left" indent="1"/>
    </xf>
    <xf numFmtId="164" fontId="130" fillId="0" borderId="0" xfId="1" applyNumberFormat="1" applyFont="1" applyFill="1" applyAlignment="1">
      <alignment horizontal="right" vertical="top" wrapText="1"/>
    </xf>
    <xf numFmtId="0" fontId="130" fillId="0" borderId="0" xfId="0" applyFont="1" applyFill="1" applyBorder="1" applyAlignment="1">
      <alignment horizontal="left" indent="2"/>
    </xf>
    <xf numFmtId="0" fontId="130" fillId="0" borderId="0" xfId="0" applyFont="1" applyFill="1" applyAlignment="1">
      <alignment horizontal="left" wrapText="1"/>
    </xf>
    <xf numFmtId="0" fontId="134" fillId="0" borderId="0" xfId="0" applyFont="1" applyAlignment="1"/>
    <xf numFmtId="165" fontId="130" fillId="0" borderId="0" xfId="0" applyNumberFormat="1" applyFont="1" applyFill="1"/>
    <xf numFmtId="0" fontId="130" fillId="0" borderId="0" xfId="0" applyFont="1" applyBorder="1" applyAlignment="1">
      <alignment horizontal="left" indent="2"/>
    </xf>
    <xf numFmtId="0" fontId="130" fillId="6" borderId="0" xfId="0" applyFont="1" applyFill="1" applyAlignment="1">
      <alignment horizontal="left" vertical="top" indent="2"/>
    </xf>
    <xf numFmtId="0" fontId="130" fillId="0" borderId="0" xfId="0" applyFont="1" applyBorder="1" applyAlignment="1">
      <alignment horizontal="left" indent="1"/>
    </xf>
    <xf numFmtId="0" fontId="134" fillId="0" borderId="0" xfId="0" applyFont="1" applyAlignment="1">
      <alignment horizontal="left"/>
    </xf>
    <xf numFmtId="0" fontId="130" fillId="12" borderId="28" xfId="0" applyFont="1" applyFill="1" applyBorder="1" applyAlignment="1">
      <alignment vertical="top"/>
    </xf>
    <xf numFmtId="0" fontId="130" fillId="12" borderId="0" xfId="0" applyFont="1" applyFill="1" applyBorder="1" applyAlignment="1">
      <alignment vertical="top"/>
    </xf>
    <xf numFmtId="0" fontId="130" fillId="12" borderId="24" xfId="0" applyFont="1" applyFill="1" applyBorder="1" applyAlignment="1">
      <alignment vertical="top"/>
    </xf>
    <xf numFmtId="0" fontId="131" fillId="12" borderId="24" xfId="0" applyFont="1" applyFill="1" applyBorder="1" applyAlignment="1">
      <alignment horizontal="right" wrapText="1"/>
    </xf>
    <xf numFmtId="0" fontId="130" fillId="12" borderId="28" xfId="0" applyFont="1" applyFill="1" applyBorder="1" applyAlignment="1">
      <alignment wrapText="1"/>
    </xf>
    <xf numFmtId="0" fontId="130" fillId="12" borderId="0" xfId="0" applyFont="1" applyFill="1" applyBorder="1" applyAlignment="1">
      <alignment wrapText="1"/>
    </xf>
    <xf numFmtId="0" fontId="130" fillId="12" borderId="24" xfId="0" applyFont="1" applyFill="1" applyBorder="1" applyAlignment="1">
      <alignment horizontal="right" vertical="top" wrapText="1"/>
    </xf>
    <xf numFmtId="0" fontId="130" fillId="12" borderId="28" xfId="0" applyFont="1" applyFill="1" applyBorder="1" applyAlignment="1"/>
    <xf numFmtId="0" fontId="130" fillId="12" borderId="28" xfId="0" applyFont="1" applyFill="1" applyBorder="1" applyAlignment="1">
      <alignment horizontal="left" indent="1"/>
    </xf>
    <xf numFmtId="0" fontId="130" fillId="12" borderId="0" xfId="0" applyFont="1" applyFill="1" applyBorder="1" applyAlignment="1"/>
    <xf numFmtId="0" fontId="130" fillId="12" borderId="0" xfId="0" applyFont="1" applyFill="1" applyBorder="1" applyAlignment="1">
      <alignment horizontal="right" vertical="top" wrapText="1"/>
    </xf>
    <xf numFmtId="0" fontId="130" fillId="12" borderId="28" xfId="0" applyFont="1" applyFill="1" applyBorder="1" applyAlignment="1">
      <alignment horizontal="left" vertical="top" indent="1"/>
    </xf>
    <xf numFmtId="0" fontId="130" fillId="12" borderId="0" xfId="0" applyFont="1" applyFill="1" applyBorder="1" applyAlignment="1">
      <alignment horizontal="justify" vertical="top" wrapText="1"/>
    </xf>
    <xf numFmtId="0" fontId="130" fillId="12" borderId="24" xfId="0" applyFont="1" applyFill="1" applyBorder="1" applyAlignment="1">
      <alignment horizontal="justify" vertical="top" wrapText="1"/>
    </xf>
    <xf numFmtId="0" fontId="130" fillId="12" borderId="28" xfId="0" applyFont="1" applyFill="1" applyBorder="1" applyAlignment="1">
      <alignment horizontal="left"/>
    </xf>
    <xf numFmtId="0" fontId="130" fillId="12" borderId="24" xfId="0" applyFont="1" applyFill="1" applyBorder="1" applyAlignment="1">
      <alignment wrapText="1"/>
    </xf>
    <xf numFmtId="0" fontId="130" fillId="12" borderId="0" xfId="0" applyFont="1" applyFill="1" applyBorder="1" applyAlignment="1">
      <alignment horizontal="left"/>
    </xf>
    <xf numFmtId="0" fontId="130" fillId="12" borderId="28" xfId="0" applyFont="1" applyFill="1" applyBorder="1"/>
    <xf numFmtId="0" fontId="130" fillId="12" borderId="0" xfId="0" applyFont="1" applyFill="1" applyBorder="1"/>
    <xf numFmtId="0" fontId="130" fillId="12" borderId="24" xfId="0" applyFont="1" applyFill="1" applyBorder="1"/>
    <xf numFmtId="0" fontId="137" fillId="12" borderId="28" xfId="0" applyFont="1" applyFill="1" applyBorder="1" applyAlignment="1">
      <alignment vertical="top"/>
    </xf>
    <xf numFmtId="0" fontId="137" fillId="12" borderId="0" xfId="0" applyFont="1" applyFill="1" applyBorder="1" applyAlignment="1">
      <alignment vertical="top"/>
    </xf>
    <xf numFmtId="0" fontId="137" fillId="12" borderId="24" xfId="0" applyFont="1" applyFill="1" applyBorder="1" applyAlignment="1">
      <alignment vertical="top"/>
    </xf>
    <xf numFmtId="0" fontId="137" fillId="12" borderId="25" xfId="0" applyFont="1" applyFill="1" applyBorder="1" applyAlignment="1">
      <alignment horizontal="left" vertical="top"/>
    </xf>
    <xf numFmtId="0" fontId="137" fillId="12" borderId="26" xfId="0" applyFont="1" applyFill="1" applyBorder="1" applyAlignment="1">
      <alignment horizontal="left" vertical="top"/>
    </xf>
    <xf numFmtId="0" fontId="137" fillId="12" borderId="27" xfId="0" applyFont="1" applyFill="1" applyBorder="1" applyAlignment="1">
      <alignment horizontal="left" vertical="top"/>
    </xf>
    <xf numFmtId="0" fontId="129" fillId="0" borderId="0" xfId="0" applyFont="1" applyAlignment="1">
      <alignment horizontal="left"/>
    </xf>
    <xf numFmtId="164" fontId="130" fillId="0" borderId="0" xfId="0" applyNumberFormat="1" applyFont="1" applyFill="1" applyAlignment="1">
      <alignment horizontal="right" vertical="top" wrapText="1"/>
    </xf>
    <xf numFmtId="164" fontId="130" fillId="0" borderId="0" xfId="0" applyNumberFormat="1" applyFont="1" applyFill="1" applyAlignment="1">
      <alignment horizontal="right" vertical="top"/>
    </xf>
    <xf numFmtId="164" fontId="130" fillId="0" borderId="0" xfId="1" applyNumberFormat="1" applyFont="1" applyFill="1" applyBorder="1" applyAlignment="1">
      <alignment horizontal="right" vertical="top"/>
    </xf>
    <xf numFmtId="164" fontId="130" fillId="0" borderId="0" xfId="1" applyNumberFormat="1" applyFont="1" applyFill="1" applyAlignment="1">
      <alignment horizontal="right" vertical="top"/>
    </xf>
    <xf numFmtId="164" fontId="131" fillId="0" borderId="6" xfId="1" applyNumberFormat="1" applyFont="1" applyFill="1" applyBorder="1" applyAlignment="1">
      <alignment horizontal="right" vertical="top"/>
    </xf>
    <xf numFmtId="164" fontId="131" fillId="0" borderId="0" xfId="1" applyNumberFormat="1" applyFont="1" applyFill="1" applyBorder="1" applyAlignment="1">
      <alignment horizontal="right" vertical="top"/>
    </xf>
    <xf numFmtId="164" fontId="131" fillId="0" borderId="2" xfId="1" applyNumberFormat="1" applyFont="1" applyFill="1" applyBorder="1" applyAlignment="1">
      <alignment horizontal="right" vertical="top"/>
    </xf>
    <xf numFmtId="164" fontId="137" fillId="0" borderId="0" xfId="1" applyNumberFormat="1" applyFont="1" applyFill="1" applyBorder="1" applyAlignment="1">
      <alignment horizontal="right" vertical="top" wrapText="1"/>
    </xf>
    <xf numFmtId="0" fontId="131" fillId="0" borderId="0" xfId="0" applyFont="1" applyFill="1" applyAlignment="1">
      <alignment horizontal="left" vertical="top" wrapText="1"/>
    </xf>
    <xf numFmtId="0" fontId="137" fillId="0" borderId="0" xfId="0" applyFont="1" applyFill="1" applyAlignment="1">
      <alignment vertical="top"/>
    </xf>
    <xf numFmtId="0" fontId="130" fillId="0" borderId="0" xfId="0" applyFont="1" applyFill="1" applyAlignment="1">
      <alignment vertical="top" wrapText="1"/>
    </xf>
    <xf numFmtId="165" fontId="130" fillId="0" borderId="0" xfId="1" applyNumberFormat="1" applyFont="1" applyFill="1"/>
    <xf numFmtId="43" fontId="130" fillId="0" borderId="0" xfId="1" applyFont="1" applyFill="1"/>
    <xf numFmtId="0" fontId="137" fillId="0" borderId="0" xfId="0" applyFont="1" applyFill="1" applyAlignment="1">
      <alignment horizontal="left" vertical="top"/>
    </xf>
    <xf numFmtId="164" fontId="131" fillId="0" borderId="2" xfId="0" applyNumberFormat="1" applyFont="1" applyFill="1" applyBorder="1" applyAlignment="1">
      <alignment horizontal="right" vertical="top"/>
    </xf>
    <xf numFmtId="164" fontId="131" fillId="0" borderId="0" xfId="0" applyNumberFormat="1" applyFont="1" applyFill="1" applyBorder="1" applyAlignment="1">
      <alignment horizontal="right" vertical="top"/>
    </xf>
    <xf numFmtId="0" fontId="131" fillId="0" borderId="0" xfId="0" applyFont="1" applyAlignment="1">
      <alignment horizontal="left"/>
    </xf>
    <xf numFmtId="164" fontId="131" fillId="0" borderId="0" xfId="1" quotePrefix="1" applyNumberFormat="1" applyFont="1" applyFill="1" applyBorder="1" applyAlignment="1">
      <alignment horizontal="right" vertical="top"/>
    </xf>
    <xf numFmtId="0" fontId="130" fillId="0" borderId="0" xfId="0" quotePrefix="1" applyFont="1" applyFill="1" applyAlignment="1">
      <alignment horizontal="left" vertical="top"/>
    </xf>
    <xf numFmtId="0" fontId="130" fillId="7" borderId="0" xfId="0" applyFont="1" applyFill="1"/>
    <xf numFmtId="0" fontId="137" fillId="0" borderId="0" xfId="0" applyFont="1" applyFill="1" applyAlignment="1">
      <alignment horizontal="center" vertical="top" wrapText="1"/>
    </xf>
    <xf numFmtId="0" fontId="132" fillId="0" borderId="0" xfId="0" applyFont="1" applyFill="1" applyAlignment="1"/>
    <xf numFmtId="1" fontId="131" fillId="0" borderId="0" xfId="0" quotePrefix="1" applyNumberFormat="1" applyFont="1" applyFill="1" applyAlignment="1">
      <alignment horizontal="right" wrapText="1"/>
    </xf>
    <xf numFmtId="0" fontId="129" fillId="0" borderId="0" xfId="0" applyFont="1" applyFill="1" applyAlignment="1"/>
    <xf numFmtId="0" fontId="130" fillId="11" borderId="0" xfId="0" applyFont="1" applyFill="1" applyAlignment="1"/>
    <xf numFmtId="164" fontId="130" fillId="11" borderId="0" xfId="1" applyNumberFormat="1" applyFont="1" applyFill="1" applyBorder="1" applyAlignment="1">
      <alignment horizontal="right" vertical="top"/>
    </xf>
    <xf numFmtId="164" fontId="131" fillId="0" borderId="1" xfId="1" applyNumberFormat="1" applyFont="1" applyFill="1" applyBorder="1" applyAlignment="1">
      <alignment horizontal="right" vertical="top"/>
    </xf>
    <xf numFmtId="43" fontId="131" fillId="0" borderId="0" xfId="1" applyFont="1" applyFill="1" applyBorder="1" applyAlignment="1">
      <alignment horizontal="right" vertical="top"/>
    </xf>
    <xf numFmtId="43" fontId="130" fillId="0" borderId="0" xfId="1" applyFont="1" applyFill="1" applyBorder="1" applyAlignment="1">
      <alignment horizontal="right" vertical="top"/>
    </xf>
    <xf numFmtId="0" fontId="137" fillId="6" borderId="0" xfId="0" applyFont="1" applyFill="1" applyBorder="1" applyAlignment="1"/>
    <xf numFmtId="0" fontId="130" fillId="6" borderId="0" xfId="0" applyFont="1" applyFill="1" applyBorder="1" applyAlignment="1">
      <alignment horizontal="left"/>
    </xf>
    <xf numFmtId="0" fontId="130" fillId="6" borderId="0" xfId="0" applyFont="1" applyFill="1" applyBorder="1"/>
    <xf numFmtId="164" fontId="130" fillId="6" borderId="0" xfId="1" applyNumberFormat="1" applyFont="1" applyFill="1" applyBorder="1" applyAlignment="1">
      <alignment horizontal="right" vertical="top"/>
    </xf>
    <xf numFmtId="0" fontId="137" fillId="0" borderId="0" xfId="0" applyFont="1" applyFill="1" applyBorder="1" applyAlignment="1">
      <alignment horizontal="left" vertical="top" wrapText="1"/>
    </xf>
    <xf numFmtId="164" fontId="130" fillId="0" borderId="1" xfId="1" applyNumberFormat="1" applyFont="1" applyFill="1" applyBorder="1" applyAlignment="1">
      <alignment horizontal="right" vertical="top"/>
    </xf>
    <xf numFmtId="0" fontId="130" fillId="0" borderId="0" xfId="0" applyFont="1" applyFill="1" applyBorder="1" applyAlignment="1">
      <alignment horizontal="left" vertical="top" wrapText="1"/>
    </xf>
    <xf numFmtId="164" fontId="130" fillId="0" borderId="0" xfId="0" applyNumberFormat="1" applyFont="1" applyFill="1" applyBorder="1" applyAlignment="1">
      <alignment horizontal="right" vertical="top"/>
    </xf>
    <xf numFmtId="164" fontId="130" fillId="0" borderId="1" xfId="0" applyNumberFormat="1" applyFont="1" applyFill="1" applyBorder="1" applyAlignment="1">
      <alignment horizontal="right" vertical="top"/>
    </xf>
    <xf numFmtId="0" fontId="142" fillId="0" borderId="0" xfId="3" applyFont="1" applyFill="1" applyAlignment="1">
      <alignment horizontal="justify" vertical="top" wrapText="1"/>
    </xf>
    <xf numFmtId="0" fontId="133" fillId="0" borderId="0" xfId="3" applyFont="1" applyFill="1">
      <alignment horizontal="justify" vertical="top" wrapText="1"/>
    </xf>
    <xf numFmtId="164" fontId="131" fillId="0" borderId="1" xfId="0" applyNumberFormat="1" applyFont="1" applyFill="1" applyBorder="1" applyAlignment="1">
      <alignment horizontal="right" vertical="top"/>
    </xf>
    <xf numFmtId="0" fontId="133" fillId="0" borderId="0" xfId="3" applyFont="1" applyFill="1" applyAlignment="1">
      <alignment horizontal="justify" vertical="top" wrapText="1"/>
    </xf>
    <xf numFmtId="0" fontId="136" fillId="6" borderId="0" xfId="3" applyFont="1" applyFill="1" applyBorder="1" applyAlignment="1">
      <alignment vertical="top"/>
    </xf>
    <xf numFmtId="0" fontId="137" fillId="6" borderId="0" xfId="3" applyFont="1" applyFill="1" applyBorder="1" applyAlignment="1">
      <alignment vertical="top"/>
    </xf>
    <xf numFmtId="0" fontId="137" fillId="0" borderId="0" xfId="3" applyFont="1" applyFill="1" applyBorder="1" applyAlignment="1">
      <alignment horizontal="left" vertical="top" wrapText="1"/>
    </xf>
    <xf numFmtId="0" fontId="131" fillId="13" borderId="28" xfId="0" applyFont="1" applyFill="1" applyBorder="1" applyAlignment="1">
      <alignment horizontal="left" vertical="top"/>
    </xf>
    <xf numFmtId="0" fontId="131" fillId="13" borderId="0" xfId="0" applyFont="1" applyFill="1" applyBorder="1" applyAlignment="1">
      <alignment horizontal="left" vertical="top"/>
    </xf>
    <xf numFmtId="0" fontId="131" fillId="13" borderId="24" xfId="0" applyFont="1" applyFill="1" applyBorder="1" applyAlignment="1">
      <alignment horizontal="left" vertical="top"/>
    </xf>
    <xf numFmtId="0" fontId="130" fillId="0" borderId="0" xfId="0" applyFont="1" applyFill="1" applyAlignment="1">
      <alignment horizontal="center"/>
    </xf>
    <xf numFmtId="164" fontId="130" fillId="0" borderId="0" xfId="0" applyNumberFormat="1" applyFont="1" applyFill="1" applyBorder="1" applyAlignment="1">
      <alignment horizontal="right" vertical="top" wrapText="1"/>
    </xf>
    <xf numFmtId="0" fontId="131" fillId="0" borderId="0" xfId="0" applyFont="1" applyFill="1" applyAlignment="1">
      <alignment vertical="top"/>
    </xf>
    <xf numFmtId="0" fontId="138" fillId="0" borderId="0" xfId="0" applyFont="1" applyFill="1" applyAlignment="1">
      <alignment vertical="top"/>
    </xf>
    <xf numFmtId="0" fontId="131" fillId="0" borderId="0" xfId="0" quotePrefix="1" applyFont="1" applyFill="1" applyAlignment="1">
      <alignment vertical="top"/>
    </xf>
    <xf numFmtId="0" fontId="131" fillId="0" borderId="0" xfId="0" quotePrefix="1" applyFont="1" applyFill="1" applyAlignment="1">
      <alignment horizontal="justify" vertical="top" wrapText="1"/>
    </xf>
    <xf numFmtId="0" fontId="134" fillId="0" borderId="0" xfId="0" applyFont="1" applyFill="1" applyAlignment="1">
      <alignment vertical="top"/>
    </xf>
    <xf numFmtId="0" fontId="134" fillId="0" borderId="0" xfId="0" applyFont="1" applyFill="1" applyAlignment="1">
      <alignment horizontal="left" vertical="top"/>
    </xf>
    <xf numFmtId="0" fontId="133" fillId="0" borderId="0" xfId="3" applyFont="1" applyFill="1" applyAlignment="1">
      <alignment horizontal="left" vertical="top" indent="1"/>
    </xf>
    <xf numFmtId="0" fontId="130" fillId="0" borderId="0" xfId="0" applyFont="1" applyFill="1" applyAlignment="1">
      <alignment horizontal="left" vertical="top" indent="1"/>
    </xf>
    <xf numFmtId="0" fontId="138" fillId="0" borderId="0" xfId="0" applyFont="1" applyFill="1" applyAlignment="1">
      <alignment horizontal="left" vertical="top"/>
    </xf>
    <xf numFmtId="164" fontId="144" fillId="0" borderId="0" xfId="0" applyNumberFormat="1" applyFont="1" applyFill="1" applyBorder="1" applyAlignment="1">
      <alignment horizontal="right"/>
    </xf>
    <xf numFmtId="0" fontId="144" fillId="0" borderId="0" xfId="0" applyFont="1" applyFill="1"/>
    <xf numFmtId="0" fontId="130" fillId="15" borderId="0" xfId="0" applyFont="1" applyFill="1" applyAlignment="1">
      <alignment vertical="top"/>
    </xf>
    <xf numFmtId="0" fontId="130" fillId="15" borderId="0" xfId="0" applyFont="1" applyFill="1" applyAlignment="1">
      <alignment horizontal="left"/>
    </xf>
    <xf numFmtId="0" fontId="130" fillId="15" borderId="0" xfId="0" applyFont="1" applyFill="1"/>
    <xf numFmtId="0" fontId="137" fillId="0" borderId="0" xfId="0" applyFont="1" applyFill="1" applyAlignment="1"/>
    <xf numFmtId="164" fontId="131" fillId="0" borderId="16" xfId="0" applyNumberFormat="1" applyFont="1" applyFill="1" applyBorder="1" applyAlignment="1">
      <alignment horizontal="right"/>
    </xf>
    <xf numFmtId="0" fontId="145" fillId="0" borderId="0" xfId="0" applyFont="1" applyFill="1" applyAlignment="1">
      <alignment vertical="top"/>
    </xf>
    <xf numFmtId="0" fontId="130" fillId="8" borderId="0" xfId="0" applyFont="1" applyFill="1" applyAlignment="1">
      <alignment horizontal="left"/>
    </xf>
    <xf numFmtId="0" fontId="145" fillId="0" borderId="0" xfId="0" applyFont="1" applyFill="1" applyAlignment="1">
      <alignment horizontal="justify" vertical="top" wrapText="1"/>
    </xf>
    <xf numFmtId="0" fontId="130" fillId="12" borderId="28" xfId="0" applyFont="1" applyFill="1" applyBorder="1" applyAlignment="1">
      <alignment horizontal="left" vertical="top" wrapText="1"/>
    </xf>
    <xf numFmtId="0" fontId="130" fillId="12" borderId="0" xfId="0" applyFont="1" applyFill="1" applyBorder="1" applyAlignment="1">
      <alignment horizontal="left" vertical="top" wrapText="1"/>
    </xf>
    <xf numFmtId="0" fontId="130" fillId="12" borderId="24" xfId="0" applyFont="1" applyFill="1" applyBorder="1" applyAlignment="1">
      <alignment horizontal="left" vertical="top" wrapText="1"/>
    </xf>
    <xf numFmtId="0" fontId="130" fillId="6" borderId="26" xfId="0" applyFont="1" applyFill="1" applyBorder="1" applyAlignment="1">
      <alignment horizontal="left" vertical="top" wrapText="1"/>
    </xf>
    <xf numFmtId="0" fontId="130" fillId="6" borderId="27" xfId="0" applyFont="1" applyFill="1" applyBorder="1" applyAlignment="1">
      <alignment horizontal="left" vertical="top" wrapText="1"/>
    </xf>
    <xf numFmtId="0" fontId="130" fillId="6" borderId="28" xfId="0" applyFont="1" applyFill="1" applyBorder="1" applyAlignment="1">
      <alignment horizontal="left" vertical="top" wrapText="1"/>
    </xf>
    <xf numFmtId="0" fontId="130" fillId="6" borderId="0" xfId="0" applyFont="1" applyFill="1" applyBorder="1" applyAlignment="1">
      <alignment horizontal="left" vertical="top" wrapText="1"/>
    </xf>
    <xf numFmtId="0" fontId="130" fillId="6" borderId="24" xfId="0" applyFont="1" applyFill="1" applyBorder="1" applyAlignment="1">
      <alignment horizontal="left" vertical="top" wrapText="1"/>
    </xf>
    <xf numFmtId="0" fontId="131" fillId="13" borderId="3" xfId="0" applyFont="1" applyFill="1" applyBorder="1" applyAlignment="1">
      <alignment horizontal="left" vertical="top"/>
    </xf>
    <xf numFmtId="0" fontId="131" fillId="13" borderId="4" xfId="0" applyFont="1" applyFill="1" applyBorder="1" applyAlignment="1">
      <alignment horizontal="left" vertical="top"/>
    </xf>
    <xf numFmtId="0" fontId="131" fillId="13" borderId="5" xfId="0" applyFont="1" applyFill="1" applyBorder="1" applyAlignment="1">
      <alignment horizontal="left" vertical="top"/>
    </xf>
    <xf numFmtId="0" fontId="137" fillId="6" borderId="28" xfId="0" applyFont="1" applyFill="1" applyBorder="1" applyAlignment="1">
      <alignment horizontal="left" vertical="top" wrapText="1"/>
    </xf>
    <xf numFmtId="0" fontId="137" fillId="0" borderId="0" xfId="0" applyFont="1" applyFill="1" applyBorder="1" applyAlignment="1">
      <alignment horizontal="center" vertical="top" wrapText="1"/>
    </xf>
    <xf numFmtId="0" fontId="137" fillId="6" borderId="0" xfId="0" applyFont="1" applyFill="1" applyBorder="1" applyAlignment="1">
      <alignment horizontal="left" vertical="top" wrapText="1"/>
    </xf>
    <xf numFmtId="0" fontId="137" fillId="6" borderId="24" xfId="0" applyFont="1" applyFill="1" applyBorder="1" applyAlignment="1">
      <alignment horizontal="left" vertical="top" wrapText="1"/>
    </xf>
    <xf numFmtId="0" fontId="130" fillId="0" borderId="0" xfId="0" applyFont="1" applyFill="1" applyAlignment="1">
      <alignment horizontal="left" vertical="top" wrapText="1"/>
    </xf>
    <xf numFmtId="0" fontId="129" fillId="0" borderId="0" xfId="0" applyFont="1" applyFill="1" applyAlignment="1">
      <alignment horizontal="left"/>
    </xf>
    <xf numFmtId="0" fontId="129" fillId="0" borderId="0" xfId="0" applyFont="1" applyFill="1" applyAlignment="1">
      <alignment horizontal="left" vertical="top"/>
    </xf>
    <xf numFmtId="0" fontId="131" fillId="0" borderId="0" xfId="0" applyFont="1" applyFill="1" applyAlignment="1">
      <alignment horizontal="right" wrapText="1"/>
    </xf>
    <xf numFmtId="0" fontId="130" fillId="0" borderId="0" xfId="0" applyFont="1" applyFill="1" applyBorder="1" applyAlignment="1">
      <alignment horizontal="right"/>
    </xf>
    <xf numFmtId="0" fontId="129" fillId="0" borderId="0" xfId="0" applyFont="1" applyFill="1" applyAlignment="1">
      <alignment vertical="top"/>
    </xf>
    <xf numFmtId="0" fontId="133" fillId="0" borderId="0" xfId="3" applyFont="1" applyFill="1" applyAlignment="1">
      <alignment vertical="top"/>
    </xf>
    <xf numFmtId="164" fontId="131" fillId="0" borderId="0" xfId="0" applyNumberFormat="1" applyFont="1" applyFill="1" applyAlignment="1">
      <alignment horizontal="right"/>
    </xf>
    <xf numFmtId="164" fontId="131" fillId="0" borderId="0" xfId="0" applyNumberFormat="1" applyFont="1" applyFill="1"/>
    <xf numFmtId="0" fontId="146" fillId="0" borderId="0" xfId="2" applyFont="1" applyFill="1" applyAlignment="1" applyProtection="1">
      <alignment horizontal="left"/>
    </xf>
    <xf numFmtId="0" fontId="146" fillId="0" borderId="0" xfId="2" applyFont="1" applyFill="1" applyAlignment="1" applyProtection="1">
      <alignment horizontal="left" vertical="top"/>
    </xf>
    <xf numFmtId="0" fontId="129" fillId="0" borderId="0" xfId="0" applyFont="1" applyFill="1" applyBorder="1" applyAlignment="1">
      <alignment horizontal="left"/>
    </xf>
    <xf numFmtId="0" fontId="129" fillId="0" borderId="0" xfId="0" applyFont="1" applyFill="1" applyBorder="1" applyAlignment="1">
      <alignment horizontal="left" vertical="top"/>
    </xf>
    <xf numFmtId="0" fontId="130" fillId="0" borderId="0" xfId="0" applyFont="1" applyFill="1" applyBorder="1" applyAlignment="1">
      <alignment vertical="top"/>
    </xf>
    <xf numFmtId="0" fontId="148" fillId="0" borderId="0" xfId="2" applyFont="1" applyFill="1" applyBorder="1" applyAlignment="1" applyProtection="1">
      <alignment horizontal="left"/>
    </xf>
    <xf numFmtId="0" fontId="148" fillId="0" borderId="0" xfId="2" applyFont="1" applyFill="1" applyBorder="1" applyAlignment="1" applyProtection="1">
      <alignment horizontal="left" vertical="top"/>
    </xf>
    <xf numFmtId="164" fontId="130" fillId="0" borderId="6" xfId="1" applyNumberFormat="1" applyFont="1" applyFill="1" applyBorder="1" applyAlignment="1">
      <alignment horizontal="right"/>
    </xf>
    <xf numFmtId="164" fontId="131" fillId="0" borderId="0" xfId="1" applyNumberFormat="1" applyFont="1" applyFill="1" applyBorder="1" applyAlignment="1">
      <alignment vertical="top"/>
    </xf>
    <xf numFmtId="0" fontId="129" fillId="0" borderId="0" xfId="0" applyFont="1" applyFill="1" applyBorder="1" applyAlignment="1">
      <alignment vertical="top"/>
    </xf>
    <xf numFmtId="164" fontId="131" fillId="0" borderId="0" xfId="0" applyNumberFormat="1" applyFont="1" applyFill="1" applyAlignment="1">
      <alignment horizontal="right" wrapText="1"/>
    </xf>
    <xf numFmtId="0" fontId="129" fillId="0" borderId="0" xfId="0" applyFont="1" applyFill="1" applyAlignment="1">
      <alignment horizontal="left" wrapText="1"/>
    </xf>
    <xf numFmtId="0" fontId="129" fillId="0" borderId="0" xfId="0" applyFont="1" applyFill="1" applyAlignment="1">
      <alignment horizontal="left" vertical="top" wrapText="1"/>
    </xf>
    <xf numFmtId="164" fontId="131" fillId="0" borderId="2" xfId="0" applyNumberFormat="1" applyFont="1" applyFill="1" applyBorder="1" applyAlignment="1">
      <alignment horizontal="right" vertical="center"/>
    </xf>
    <xf numFmtId="0" fontId="130" fillId="0" borderId="0" xfId="0" applyFont="1" applyAlignment="1">
      <alignment horizontal="center"/>
    </xf>
    <xf numFmtId="0" fontId="130" fillId="0" borderId="0" xfId="0" applyFont="1" applyBorder="1" applyAlignment="1">
      <alignment horizontal="center"/>
    </xf>
    <xf numFmtId="1" fontId="131" fillId="0" borderId="0" xfId="0" applyNumberFormat="1" applyFont="1" applyAlignment="1">
      <alignment horizontal="left"/>
    </xf>
    <xf numFmtId="0" fontId="131" fillId="0" borderId="0" xfId="0" applyFont="1" applyBorder="1" applyAlignment="1">
      <alignment horizontal="center"/>
    </xf>
    <xf numFmtId="0" fontId="130" fillId="0" borderId="0" xfId="0" applyFont="1" applyAlignment="1">
      <alignment horizontal="left"/>
    </xf>
    <xf numFmtId="0" fontId="130" fillId="0" borderId="0" xfId="0" applyFont="1" applyFill="1" applyAlignment="1">
      <alignment horizontal="center" wrapText="1"/>
    </xf>
    <xf numFmtId="0" fontId="131" fillId="0" borderId="0" xfId="0" applyFont="1" applyFill="1" applyAlignment="1">
      <alignment horizontal="center" wrapText="1"/>
    </xf>
    <xf numFmtId="37" fontId="130" fillId="0" borderId="0" xfId="1" applyNumberFormat="1" applyFont="1" applyFill="1" applyBorder="1" applyAlignment="1">
      <alignment horizontal="center"/>
    </xf>
    <xf numFmtId="164" fontId="130" fillId="0" borderId="0" xfId="1" applyNumberFormat="1" applyFont="1" applyBorder="1" applyAlignment="1">
      <alignment horizontal="right"/>
    </xf>
    <xf numFmtId="164" fontId="130" fillId="0" borderId="2" xfId="1" applyNumberFormat="1" applyFont="1" applyFill="1" applyBorder="1" applyAlignment="1">
      <alignment horizontal="right"/>
    </xf>
    <xf numFmtId="0" fontId="130" fillId="0" borderId="0" xfId="0" applyFont="1" applyBorder="1" applyAlignment="1">
      <alignment horizontal="left"/>
    </xf>
    <xf numFmtId="164" fontId="130" fillId="0" borderId="0" xfId="1" applyNumberFormat="1" applyFont="1" applyAlignment="1">
      <alignment horizontal="right"/>
    </xf>
    <xf numFmtId="1" fontId="131" fillId="0" borderId="0" xfId="0" applyNumberFormat="1" applyFont="1" applyFill="1" applyAlignment="1">
      <alignment horizontal="left"/>
    </xf>
    <xf numFmtId="37" fontId="130" fillId="0" borderId="0" xfId="1" applyNumberFormat="1" applyFont="1" applyBorder="1" applyAlignment="1">
      <alignment horizontal="right"/>
    </xf>
    <xf numFmtId="37" fontId="130" fillId="0" borderId="0" xfId="1" applyNumberFormat="1" applyFont="1" applyFill="1" applyBorder="1" applyAlignment="1">
      <alignment horizontal="right"/>
    </xf>
    <xf numFmtId="0" fontId="131" fillId="12" borderId="28" xfId="0" applyFont="1" applyFill="1" applyBorder="1" applyAlignment="1">
      <alignment horizontal="left" vertical="top" wrapText="1"/>
    </xf>
    <xf numFmtId="0" fontId="130" fillId="12" borderId="0" xfId="0" applyFont="1" applyFill="1" applyBorder="1" applyAlignment="1">
      <alignment horizontal="center"/>
    </xf>
    <xf numFmtId="0" fontId="130" fillId="12" borderId="24" xfId="0" applyFont="1" applyFill="1" applyBorder="1" applyAlignment="1">
      <alignment horizontal="center"/>
    </xf>
    <xf numFmtId="0" fontId="130" fillId="12" borderId="28" xfId="0" applyFont="1" applyFill="1" applyBorder="1" applyAlignment="1">
      <alignment vertical="top" wrapText="1"/>
    </xf>
    <xf numFmtId="0" fontId="130" fillId="12" borderId="0" xfId="0" applyFont="1" applyFill="1" applyBorder="1" applyAlignment="1">
      <alignment vertical="top" wrapText="1"/>
    </xf>
    <xf numFmtId="0" fontId="131" fillId="12" borderId="0" xfId="0" applyFont="1" applyFill="1" applyBorder="1" applyAlignment="1">
      <alignment horizontal="right" vertical="top" wrapText="1"/>
    </xf>
    <xf numFmtId="0" fontId="131" fillId="12" borderId="24" xfId="0" applyFont="1" applyFill="1" applyBorder="1" applyAlignment="1">
      <alignment horizontal="right" vertical="top" wrapText="1"/>
    </xf>
    <xf numFmtId="0" fontId="130" fillId="12" borderId="24" xfId="0" applyFont="1" applyFill="1" applyBorder="1" applyAlignment="1">
      <alignment vertical="top" wrapText="1"/>
    </xf>
    <xf numFmtId="0" fontId="130" fillId="12" borderId="28" xfId="2" applyFont="1" applyFill="1" applyBorder="1" applyAlignment="1" applyProtection="1"/>
    <xf numFmtId="0" fontId="130" fillId="12" borderId="25" xfId="0" applyFont="1" applyFill="1" applyBorder="1" applyAlignment="1">
      <alignment horizontal="left"/>
    </xf>
    <xf numFmtId="0" fontId="130" fillId="12" borderId="26" xfId="0" applyFont="1" applyFill="1" applyBorder="1" applyAlignment="1">
      <alignment horizontal="center"/>
    </xf>
    <xf numFmtId="0" fontId="130" fillId="12" borderId="27" xfId="0" applyFont="1" applyFill="1" applyBorder="1" applyAlignment="1">
      <alignment horizontal="center"/>
    </xf>
    <xf numFmtId="0" fontId="130" fillId="12" borderId="0" xfId="0" applyFont="1" applyFill="1" applyBorder="1" applyAlignment="1">
      <alignment horizontal="left" wrapText="1"/>
    </xf>
    <xf numFmtId="0" fontId="130" fillId="0" borderId="0" xfId="0" applyFont="1" applyFill="1" applyBorder="1" applyAlignment="1">
      <alignment horizontal="left" wrapText="1"/>
    </xf>
    <xf numFmtId="0" fontId="130" fillId="0" borderId="2" xfId="0" applyFont="1" applyFill="1" applyBorder="1" applyAlignment="1">
      <alignment horizontal="left" wrapText="1"/>
    </xf>
    <xf numFmtId="0" fontId="130" fillId="0" borderId="0" xfId="0" applyFont="1" applyFill="1" applyBorder="1" applyAlignment="1">
      <alignment horizontal="justify" vertical="top" wrapText="1"/>
    </xf>
    <xf numFmtId="0" fontId="131" fillId="0" borderId="0" xfId="0" applyFont="1" applyFill="1" applyBorder="1" applyAlignment="1">
      <alignment horizontal="center"/>
    </xf>
    <xf numFmtId="0" fontId="131" fillId="0" borderId="0" xfId="0" quotePrefix="1" applyFont="1" applyFill="1" applyBorder="1" applyAlignment="1">
      <alignment horizontal="center"/>
    </xf>
    <xf numFmtId="164" fontId="130" fillId="0" borderId="0" xfId="1" applyNumberFormat="1" applyFont="1" applyFill="1" applyBorder="1" applyAlignment="1"/>
    <xf numFmtId="164" fontId="131" fillId="0" borderId="0" xfId="0" quotePrefix="1" applyNumberFormat="1" applyFont="1" applyFill="1" applyBorder="1" applyAlignment="1">
      <alignment horizontal="center"/>
    </xf>
    <xf numFmtId="0" fontId="131" fillId="12" borderId="28" xfId="0" applyFont="1" applyFill="1" applyBorder="1" applyAlignment="1">
      <alignment vertical="top"/>
    </xf>
    <xf numFmtId="0" fontId="131" fillId="12" borderId="0" xfId="0" applyFont="1" applyFill="1" applyBorder="1" applyAlignment="1">
      <alignment vertical="top"/>
    </xf>
    <xf numFmtId="0" fontId="131" fillId="12" borderId="24" xfId="0" applyFont="1" applyFill="1" applyBorder="1" applyAlignment="1">
      <alignment vertical="top"/>
    </xf>
    <xf numFmtId="164" fontId="130" fillId="0" borderId="0" xfId="1" applyNumberFormat="1" applyFont="1" applyFill="1" applyAlignment="1"/>
    <xf numFmtId="164" fontId="130" fillId="0" borderId="1" xfId="0" applyNumberFormat="1" applyFont="1" applyFill="1" applyBorder="1" applyAlignment="1">
      <alignment horizontal="right"/>
    </xf>
    <xf numFmtId="1" fontId="130" fillId="0" borderId="0" xfId="0" applyNumberFormat="1" applyFont="1" applyFill="1" applyBorder="1" applyAlignment="1">
      <alignment horizontal="right"/>
    </xf>
    <xf numFmtId="0" fontId="131" fillId="0" borderId="0" xfId="0" applyFont="1" applyFill="1" applyBorder="1" applyAlignment="1">
      <alignment horizontal="center" vertical="top" wrapText="1"/>
    </xf>
    <xf numFmtId="0" fontId="130" fillId="0" borderId="0" xfId="0" applyFont="1" applyFill="1" applyAlignment="1">
      <alignment horizontal="center" vertical="top" wrapText="1"/>
    </xf>
    <xf numFmtId="0" fontId="131" fillId="0" borderId="0" xfId="0" applyFont="1" applyFill="1" applyAlignment="1">
      <alignment horizontal="center" vertical="top" wrapText="1"/>
    </xf>
    <xf numFmtId="1" fontId="131" fillId="0" borderId="0" xfId="0" applyNumberFormat="1" applyFont="1" applyFill="1" applyBorder="1" applyAlignment="1">
      <alignment horizontal="center"/>
    </xf>
    <xf numFmtId="0" fontId="130" fillId="0" borderId="0" xfId="0" applyFont="1" applyFill="1" applyBorder="1" applyAlignment="1">
      <alignment horizontal="center" vertical="top" wrapText="1"/>
    </xf>
    <xf numFmtId="1" fontId="130" fillId="0" borderId="0" xfId="0" applyNumberFormat="1" applyFont="1" applyFill="1" applyBorder="1" applyAlignment="1">
      <alignment horizontal="center"/>
    </xf>
    <xf numFmtId="0" fontId="131" fillId="0" borderId="0" xfId="0" applyFont="1" applyFill="1" applyAlignment="1">
      <alignment horizontal="right" vertical="top" wrapText="1"/>
    </xf>
    <xf numFmtId="164" fontId="131" fillId="0" borderId="0" xfId="0" quotePrefix="1" applyNumberFormat="1" applyFont="1" applyFill="1" applyBorder="1" applyAlignment="1">
      <alignment horizontal="right"/>
    </xf>
    <xf numFmtId="164" fontId="130" fillId="0" borderId="1" xfId="0" applyNumberFormat="1" applyFont="1" applyFill="1" applyBorder="1" applyAlignment="1">
      <alignment horizontal="right" vertical="top" wrapText="1"/>
    </xf>
    <xf numFmtId="164" fontId="131" fillId="0" borderId="2" xfId="0" applyNumberFormat="1" applyFont="1" applyFill="1" applyBorder="1" applyAlignment="1">
      <alignment horizontal="right" vertical="top" wrapText="1"/>
    </xf>
    <xf numFmtId="164" fontId="131" fillId="0" borderId="0" xfId="0" applyNumberFormat="1" applyFont="1" applyFill="1" applyAlignment="1">
      <alignment horizontal="right" vertical="top" wrapText="1"/>
    </xf>
    <xf numFmtId="0" fontId="137" fillId="12" borderId="26" xfId="0" applyFont="1" applyFill="1" applyBorder="1" applyAlignment="1">
      <alignment vertical="top"/>
    </xf>
    <xf numFmtId="0" fontId="130" fillId="0" borderId="0" xfId="0" applyFont="1" applyFill="1" applyBorder="1" applyAlignment="1">
      <alignment vertical="top" wrapText="1"/>
    </xf>
    <xf numFmtId="1" fontId="131" fillId="0" borderId="0" xfId="0" applyNumberFormat="1" applyFont="1" applyFill="1" applyBorder="1" applyAlignment="1">
      <alignment horizontal="center" vertical="top"/>
    </xf>
    <xf numFmtId="1" fontId="131" fillId="0" borderId="0" xfId="0" applyNumberFormat="1" applyFont="1" applyFill="1" applyAlignment="1">
      <alignment horizontal="left" vertical="top"/>
    </xf>
    <xf numFmtId="164" fontId="130" fillId="0" borderId="2" xfId="0" applyNumberFormat="1" applyFont="1" applyFill="1" applyBorder="1" applyAlignment="1">
      <alignment horizontal="right" vertical="top" wrapText="1"/>
    </xf>
    <xf numFmtId="0" fontId="131" fillId="13" borderId="4" xfId="0" applyFont="1" applyFill="1" applyBorder="1" applyAlignment="1">
      <alignment vertical="top"/>
    </xf>
    <xf numFmtId="0" fontId="131" fillId="13" borderId="5" xfId="0" applyFont="1" applyFill="1" applyBorder="1" applyAlignment="1">
      <alignment vertical="top"/>
    </xf>
    <xf numFmtId="0" fontId="131" fillId="13" borderId="28" xfId="0" applyFont="1" applyFill="1" applyBorder="1" applyAlignment="1">
      <alignment vertical="top"/>
    </xf>
    <xf numFmtId="0" fontId="131" fillId="13" borderId="0" xfId="0" applyFont="1" applyFill="1" applyBorder="1" applyAlignment="1">
      <alignment vertical="top"/>
    </xf>
    <xf numFmtId="0" fontId="131" fillId="13" borderId="24" xfId="0" applyFont="1" applyFill="1" applyBorder="1" applyAlignment="1">
      <alignment vertical="top"/>
    </xf>
    <xf numFmtId="0" fontId="130" fillId="8" borderId="0" xfId="0" applyFont="1" applyFill="1" applyAlignment="1"/>
    <xf numFmtId="0" fontId="130" fillId="6" borderId="25" xfId="0" applyFont="1" applyFill="1" applyBorder="1" applyAlignment="1">
      <alignment horizontal="left" vertical="top"/>
    </xf>
    <xf numFmtId="0" fontId="150" fillId="0" borderId="0" xfId="0" applyFont="1"/>
    <xf numFmtId="0" fontId="129" fillId="0" borderId="0" xfId="0" applyFont="1"/>
    <xf numFmtId="0" fontId="130" fillId="11" borderId="0" xfId="0" applyFont="1" applyFill="1" applyBorder="1" applyAlignment="1">
      <alignment horizontal="left" vertical="top" wrapText="1"/>
    </xf>
    <xf numFmtId="0" fontId="129" fillId="0" borderId="0" xfId="0" applyFont="1" applyFill="1"/>
    <xf numFmtId="0" fontId="142" fillId="0" borderId="0" xfId="3" applyFont="1" applyFill="1" applyAlignment="1">
      <alignment horizontal="left" vertical="top"/>
    </xf>
    <xf numFmtId="0" fontId="131" fillId="0" borderId="0" xfId="0" applyFont="1" applyFill="1" applyAlignment="1">
      <alignment horizontal="center"/>
    </xf>
    <xf numFmtId="0" fontId="131" fillId="0" borderId="0" xfId="0" applyFont="1" applyFill="1" applyBorder="1" applyAlignment="1">
      <alignment horizontal="left" vertical="top"/>
    </xf>
    <xf numFmtId="0" fontId="131" fillId="0" borderId="0" xfId="0" applyFont="1" applyFill="1" applyBorder="1" applyAlignment="1">
      <alignment horizontal="justify" vertical="top" wrapText="1"/>
    </xf>
    <xf numFmtId="38" fontId="130" fillId="0" borderId="0" xfId="0" applyNumberFormat="1" applyFont="1" applyFill="1" applyBorder="1"/>
    <xf numFmtId="164" fontId="130" fillId="0" borderId="0" xfId="1" applyNumberFormat="1" applyFont="1" applyFill="1" applyBorder="1"/>
    <xf numFmtId="164" fontId="131" fillId="0" borderId="2" xfId="1" applyNumberFormat="1" applyFont="1" applyFill="1" applyBorder="1" applyAlignment="1"/>
    <xf numFmtId="164" fontId="131" fillId="0" borderId="0" xfId="1" applyNumberFormat="1" applyFont="1" applyFill="1" applyBorder="1" applyAlignment="1"/>
    <xf numFmtId="166" fontId="130" fillId="0" borderId="0" xfId="1" applyNumberFormat="1" applyFont="1" applyFill="1" applyBorder="1" applyAlignment="1"/>
    <xf numFmtId="1" fontId="131" fillId="0" borderId="0" xfId="0" applyNumberFormat="1" applyFont="1" applyFill="1" applyBorder="1" applyAlignment="1">
      <alignment horizontal="center" vertical="top" wrapText="1"/>
    </xf>
    <xf numFmtId="0" fontId="130" fillId="0" borderId="0" xfId="0" applyFont="1" applyFill="1" applyAlignment="1">
      <alignment horizontal="center" vertical="top"/>
    </xf>
    <xf numFmtId="0" fontId="131" fillId="0" borderId="0" xfId="0" applyFont="1" applyFill="1" applyBorder="1" applyAlignment="1">
      <alignment horizontal="right" wrapText="1"/>
    </xf>
    <xf numFmtId="0" fontId="130" fillId="0" borderId="0" xfId="0" applyFont="1" applyFill="1" applyAlignment="1">
      <alignment horizontal="right"/>
    </xf>
    <xf numFmtId="164" fontId="131" fillId="0" borderId="2" xfId="0" applyNumberFormat="1" applyFont="1" applyFill="1" applyBorder="1"/>
    <xf numFmtId="164" fontId="130" fillId="0" borderId="0" xfId="0" applyNumberFormat="1" applyFont="1" applyFill="1" applyAlignment="1">
      <alignment horizontal="justify" vertical="top" wrapText="1"/>
    </xf>
    <xf numFmtId="0" fontId="134" fillId="13" borderId="28" xfId="0" applyFont="1" applyFill="1" applyBorder="1" applyAlignment="1">
      <alignment horizontal="left" vertical="top"/>
    </xf>
    <xf numFmtId="0" fontId="130" fillId="13" borderId="0" xfId="0" applyFont="1" applyFill="1" applyBorder="1" applyAlignment="1">
      <alignment horizontal="left" vertical="top"/>
    </xf>
    <xf numFmtId="164" fontId="130" fillId="13" borderId="0" xfId="1" applyNumberFormat="1" applyFont="1" applyFill="1" applyBorder="1" applyAlignment="1">
      <alignment horizontal="left"/>
    </xf>
    <xf numFmtId="164" fontId="130" fillId="13" borderId="24" xfId="1" applyNumberFormat="1" applyFont="1" applyFill="1" applyBorder="1" applyAlignment="1">
      <alignment horizontal="left"/>
    </xf>
    <xf numFmtId="164" fontId="130" fillId="0" borderId="0" xfId="1" applyNumberFormat="1" applyFont="1" applyFill="1" applyBorder="1" applyAlignment="1">
      <alignment horizontal="left"/>
    </xf>
    <xf numFmtId="0" fontId="131" fillId="6" borderId="0" xfId="0" applyFont="1" applyFill="1" applyAlignment="1">
      <alignment horizontal="left" vertical="top"/>
    </xf>
    <xf numFmtId="0" fontId="130" fillId="6" borderId="0" xfId="0" applyFont="1" applyFill="1" applyAlignment="1">
      <alignment horizontal="left"/>
    </xf>
    <xf numFmtId="166" fontId="130" fillId="6" borderId="0" xfId="1" applyNumberFormat="1" applyFont="1" applyFill="1" applyAlignment="1">
      <alignment horizontal="left"/>
    </xf>
    <xf numFmtId="166" fontId="130" fillId="6" borderId="0" xfId="1" applyNumberFormat="1" applyFont="1" applyFill="1" applyBorder="1" applyAlignment="1">
      <alignment horizontal="left"/>
    </xf>
    <xf numFmtId="0" fontId="131" fillId="6" borderId="3" xfId="0" applyFont="1" applyFill="1" applyBorder="1" applyAlignment="1">
      <alignment horizontal="left" vertical="top"/>
    </xf>
    <xf numFmtId="0" fontId="131" fillId="6" borderId="4" xfId="0" applyFont="1" applyFill="1" applyBorder="1" applyAlignment="1">
      <alignment horizontal="left" vertical="top"/>
    </xf>
    <xf numFmtId="0" fontId="131" fillId="6" borderId="5" xfId="0" applyFont="1" applyFill="1" applyBorder="1" applyAlignment="1">
      <alignment horizontal="left" vertical="top"/>
    </xf>
    <xf numFmtId="166" fontId="130" fillId="6" borderId="24" xfId="1" applyNumberFormat="1" applyFont="1" applyFill="1" applyBorder="1" applyAlignment="1">
      <alignment horizontal="left"/>
    </xf>
    <xf numFmtId="166" fontId="130" fillId="0" borderId="0" xfId="1" applyNumberFormat="1" applyFont="1" applyFill="1" applyAlignment="1"/>
    <xf numFmtId="0" fontId="130" fillId="7" borderId="0" xfId="0" applyFont="1" applyFill="1" applyAlignment="1">
      <alignment horizontal="left" vertical="top"/>
    </xf>
    <xf numFmtId="0" fontId="131" fillId="6" borderId="0" xfId="0" applyFont="1" applyFill="1" applyAlignment="1">
      <alignment horizontal="justify" vertical="top" wrapText="1"/>
    </xf>
    <xf numFmtId="0" fontId="130" fillId="6" borderId="0" xfId="0" applyFont="1" applyFill="1" applyBorder="1" applyAlignment="1">
      <alignment horizontal="justify" vertical="top" wrapText="1"/>
    </xf>
    <xf numFmtId="164" fontId="130" fillId="0" borderId="2" xfId="1" applyNumberFormat="1" applyFont="1" applyFill="1" applyBorder="1" applyAlignment="1"/>
    <xf numFmtId="15" fontId="131" fillId="0" borderId="0" xfId="0" applyNumberFormat="1" applyFont="1" applyFill="1" applyAlignment="1">
      <alignment horizontal="left" vertical="top"/>
    </xf>
    <xf numFmtId="16" fontId="131" fillId="0" borderId="0" xfId="0" quotePrefix="1" applyNumberFormat="1" applyFont="1" applyFill="1" applyBorder="1" applyAlignment="1">
      <alignment horizontal="right" vertical="top" wrapText="1"/>
    </xf>
    <xf numFmtId="0" fontId="131" fillId="0" borderId="0" xfId="0" quotePrefix="1" applyFont="1" applyFill="1" applyAlignment="1">
      <alignment horizontal="right" vertical="top" wrapText="1"/>
    </xf>
    <xf numFmtId="0" fontId="131" fillId="0" borderId="0" xfId="0" applyFont="1" applyFill="1" applyAlignment="1">
      <alignment horizontal="right"/>
    </xf>
    <xf numFmtId="164" fontId="131" fillId="0" borderId="0" xfId="1" quotePrefix="1" applyNumberFormat="1" applyFont="1" applyFill="1" applyBorder="1" applyAlignment="1">
      <alignment horizontal="right"/>
    </xf>
    <xf numFmtId="164" fontId="130" fillId="0" borderId="16" xfId="1" applyNumberFormat="1" applyFont="1" applyFill="1" applyBorder="1" applyAlignment="1"/>
    <xf numFmtId="0" fontId="137" fillId="6" borderId="0" xfId="0" applyFont="1" applyFill="1" applyAlignment="1">
      <alignment horizontal="left" vertical="top" wrapText="1"/>
    </xf>
    <xf numFmtId="0" fontId="137" fillId="6" borderId="0" xfId="0" applyFont="1" applyFill="1" applyAlignment="1">
      <alignment horizontal="left" vertical="top"/>
    </xf>
    <xf numFmtId="0" fontId="129" fillId="0" borderId="0" xfId="0" applyFont="1" applyFill="1" applyAlignment="1">
      <alignment horizontal="justify" vertical="top"/>
    </xf>
    <xf numFmtId="0" fontId="131" fillId="11" borderId="0" xfId="0" applyFont="1" applyFill="1" applyAlignment="1"/>
    <xf numFmtId="164" fontId="130" fillId="11" borderId="0" xfId="1" applyNumberFormat="1" applyFont="1" applyFill="1" applyBorder="1" applyAlignment="1"/>
    <xf numFmtId="164" fontId="131" fillId="11" borderId="2" xfId="1" applyNumberFormat="1" applyFont="1" applyFill="1" applyBorder="1" applyAlignment="1"/>
    <xf numFmtId="164" fontId="131" fillId="11" borderId="0" xfId="1" applyNumberFormat="1" applyFont="1" applyFill="1" applyBorder="1" applyAlignment="1"/>
    <xf numFmtId="164" fontId="130" fillId="0" borderId="1" xfId="1" applyNumberFormat="1" applyFont="1" applyFill="1" applyBorder="1" applyAlignment="1"/>
    <xf numFmtId="164" fontId="131" fillId="6" borderId="0" xfId="1" applyNumberFormat="1" applyFont="1" applyFill="1" applyBorder="1" applyAlignment="1"/>
    <xf numFmtId="0" fontId="137" fillId="6" borderId="0" xfId="0" applyFont="1" applyFill="1" applyAlignment="1">
      <alignment horizontal="left"/>
    </xf>
    <xf numFmtId="166" fontId="130" fillId="6" borderId="0" xfId="1" applyNumberFormat="1" applyFont="1" applyFill="1" applyBorder="1" applyAlignment="1"/>
    <xf numFmtId="164" fontId="130" fillId="0" borderId="0" xfId="1" applyNumberFormat="1" applyFont="1" applyFill="1"/>
    <xf numFmtId="1" fontId="131" fillId="0" borderId="0" xfId="0" applyNumberFormat="1" applyFont="1" applyFill="1" applyBorder="1" applyAlignment="1">
      <alignment horizontal="left"/>
    </xf>
    <xf numFmtId="164" fontId="130" fillId="0" borderId="1" xfId="1" applyNumberFormat="1" applyFont="1" applyBorder="1" applyAlignment="1">
      <alignment horizontal="right"/>
    </xf>
    <xf numFmtId="164" fontId="131" fillId="0" borderId="2" xfId="1" applyNumberFormat="1" applyFont="1" applyBorder="1" applyAlignment="1">
      <alignment horizontal="right"/>
    </xf>
    <xf numFmtId="164" fontId="131" fillId="0" borderId="6" xfId="1" applyNumberFormat="1" applyFont="1" applyFill="1" applyBorder="1" applyAlignment="1">
      <alignment horizontal="right"/>
    </xf>
    <xf numFmtId="164" fontId="131" fillId="0" borderId="0" xfId="1" applyNumberFormat="1" applyFont="1" applyAlignment="1">
      <alignment horizontal="right"/>
    </xf>
    <xf numFmtId="164" fontId="131" fillId="0" borderId="2" xfId="0" applyNumberFormat="1" applyFont="1" applyBorder="1" applyAlignment="1">
      <alignment horizontal="right"/>
    </xf>
    <xf numFmtId="164" fontId="131" fillId="0" borderId="0" xfId="0" applyNumberFormat="1" applyFont="1" applyBorder="1" applyAlignment="1">
      <alignment horizontal="right"/>
    </xf>
    <xf numFmtId="164" fontId="130" fillId="0" borderId="0" xfId="1" applyNumberFormat="1" applyFont="1" applyBorder="1" applyAlignment="1">
      <alignment horizontal="center"/>
    </xf>
    <xf numFmtId="164" fontId="131" fillId="0" borderId="0" xfId="1" applyNumberFormat="1" applyFont="1" applyFill="1" applyAlignment="1">
      <alignment horizontal="right"/>
    </xf>
    <xf numFmtId="0" fontId="130" fillId="0" borderId="0" xfId="0" applyFont="1" applyFill="1" applyBorder="1" applyAlignment="1">
      <alignment horizontal="center"/>
    </xf>
    <xf numFmtId="0" fontId="140" fillId="0" borderId="0" xfId="0" applyFont="1" applyAlignment="1"/>
    <xf numFmtId="0" fontId="130" fillId="0" borderId="0" xfId="0" applyFont="1" applyAlignment="1">
      <alignment horizontal="left" vertical="top" wrapText="1"/>
    </xf>
    <xf numFmtId="164" fontId="131" fillId="0" borderId="16" xfId="1" applyNumberFormat="1" applyFont="1" applyFill="1" applyBorder="1" applyAlignment="1">
      <alignment horizontal="right"/>
    </xf>
    <xf numFmtId="0" fontId="142" fillId="0" borderId="0" xfId="3" applyFont="1" applyAlignment="1">
      <alignment vertical="top"/>
    </xf>
    <xf numFmtId="0" fontId="142" fillId="0" borderId="0" xfId="3" applyFont="1" applyAlignment="1">
      <alignment horizontal="justify" vertical="top" wrapText="1"/>
    </xf>
    <xf numFmtId="0" fontId="134" fillId="0" borderId="0" xfId="0" applyFont="1" applyFill="1"/>
    <xf numFmtId="0" fontId="130" fillId="0" borderId="0" xfId="0" applyFont="1" applyAlignment="1">
      <alignment vertical="center"/>
    </xf>
    <xf numFmtId="0" fontId="131" fillId="0" borderId="0" xfId="0" applyFont="1" applyBorder="1" applyAlignment="1">
      <alignment horizontal="right" vertical="center" wrapText="1"/>
    </xf>
    <xf numFmtId="0" fontId="131" fillId="0" borderId="0" xfId="0" applyFont="1" applyBorder="1" applyAlignment="1">
      <alignment horizontal="center" vertical="center" wrapText="1"/>
    </xf>
    <xf numFmtId="0" fontId="147" fillId="0" borderId="0" xfId="0" applyFont="1" applyBorder="1" applyAlignment="1">
      <alignment horizontal="right" vertical="center" wrapText="1"/>
    </xf>
    <xf numFmtId="0" fontId="130" fillId="0" borderId="0" xfId="0" applyFont="1"/>
    <xf numFmtId="0" fontId="130" fillId="8" borderId="0" xfId="0" applyFont="1" applyFill="1"/>
    <xf numFmtId="0" fontId="130" fillId="0" borderId="0" xfId="0" applyFont="1" applyBorder="1" applyAlignment="1">
      <alignment horizontal="right" vertical="center" wrapText="1"/>
    </xf>
    <xf numFmtId="0" fontId="131" fillId="0" borderId="0" xfId="0" applyFont="1" applyAlignment="1">
      <alignment horizontal="left" vertical="center" wrapText="1"/>
    </xf>
    <xf numFmtId="0" fontId="131" fillId="11" borderId="0" xfId="0" applyFont="1" applyFill="1" applyBorder="1" applyAlignment="1">
      <alignment horizontal="right" vertical="center" wrapText="1"/>
    </xf>
    <xf numFmtId="164" fontId="130" fillId="11" borderId="0" xfId="1" applyNumberFormat="1" applyFont="1" applyFill="1" applyBorder="1" applyAlignment="1">
      <alignment horizontal="right"/>
    </xf>
    <xf numFmtId="0" fontId="130" fillId="11" borderId="0" xfId="0" applyFont="1" applyFill="1" applyBorder="1" applyAlignment="1">
      <alignment horizontal="right" vertical="center" wrapText="1"/>
    </xf>
    <xf numFmtId="164" fontId="131" fillId="11" borderId="2" xfId="0" applyNumberFormat="1" applyFont="1" applyFill="1" applyBorder="1" applyAlignment="1">
      <alignment horizontal="right"/>
    </xf>
    <xf numFmtId="164" fontId="131" fillId="11" borderId="0" xfId="0" applyNumberFormat="1" applyFont="1" applyFill="1" applyBorder="1" applyAlignment="1">
      <alignment horizontal="right"/>
    </xf>
    <xf numFmtId="0" fontId="151" fillId="0" borderId="0" xfId="0" applyFont="1" applyFill="1"/>
    <xf numFmtId="0" fontId="152" fillId="6" borderId="0" xfId="0" applyFont="1" applyFill="1"/>
    <xf numFmtId="0" fontId="131" fillId="11" borderId="0" xfId="0" applyFont="1" applyFill="1" applyAlignment="1">
      <alignment horizontal="left" vertical="top"/>
    </xf>
    <xf numFmtId="0" fontId="130" fillId="11" borderId="0" xfId="0" applyFont="1" applyFill="1" applyAlignment="1">
      <alignment horizontal="center" vertical="top" wrapText="1"/>
    </xf>
    <xf numFmtId="0" fontId="130" fillId="11" borderId="0" xfId="0" applyFont="1" applyFill="1" applyAlignment="1">
      <alignment vertical="top" wrapText="1"/>
    </xf>
    <xf numFmtId="0" fontId="130" fillId="11" borderId="0" xfId="0" applyFont="1" applyFill="1" applyAlignment="1">
      <alignment horizontal="left" vertical="top" wrapText="1"/>
    </xf>
    <xf numFmtId="0" fontId="130" fillId="11" borderId="0" xfId="0" applyFont="1" applyFill="1" applyAlignment="1">
      <alignment horizontal="left" vertical="top"/>
    </xf>
    <xf numFmtId="0" fontId="154" fillId="11" borderId="0" xfId="0" applyFont="1" applyFill="1" applyAlignment="1">
      <alignment horizontal="right" vertical="top" wrapText="1"/>
    </xf>
    <xf numFmtId="0" fontId="131" fillId="11" borderId="0" xfId="0" applyFont="1" applyFill="1" applyAlignment="1">
      <alignment horizontal="center" vertical="top" wrapText="1"/>
    </xf>
    <xf numFmtId="0" fontId="131" fillId="11" borderId="0" xfId="0" applyFont="1" applyFill="1" applyAlignment="1">
      <alignment horizontal="left" vertical="top" wrapText="1"/>
    </xf>
    <xf numFmtId="0" fontId="153" fillId="0" borderId="0" xfId="0" applyFont="1" applyFill="1" applyAlignment="1">
      <alignment horizontal="left" vertical="top" wrapText="1"/>
    </xf>
    <xf numFmtId="0" fontId="133" fillId="0" borderId="0" xfId="3" applyFont="1">
      <alignment horizontal="justify" vertical="top" wrapText="1"/>
    </xf>
    <xf numFmtId="166" fontId="131" fillId="0" borderId="0" xfId="1" applyNumberFormat="1" applyFont="1" applyFill="1" applyBorder="1" applyAlignment="1">
      <alignment horizontal="right"/>
    </xf>
    <xf numFmtId="164" fontId="130" fillId="0" borderId="2" xfId="0" applyNumberFormat="1" applyFont="1" applyFill="1" applyBorder="1" applyAlignment="1">
      <alignment horizontal="right"/>
    </xf>
    <xf numFmtId="0" fontId="138" fillId="0" borderId="0" xfId="0" applyFont="1" applyFill="1"/>
    <xf numFmtId="0" fontId="137" fillId="0" borderId="0" xfId="3" applyFont="1" applyAlignment="1">
      <alignment horizontal="left" vertical="top"/>
    </xf>
    <xf numFmtId="0" fontId="130" fillId="0" borderId="0" xfId="0" applyFont="1" applyFill="1" applyBorder="1" applyAlignment="1"/>
    <xf numFmtId="0" fontId="131" fillId="0" borderId="0" xfId="0" applyFont="1" applyFill="1" applyBorder="1" applyAlignment="1"/>
    <xf numFmtId="166" fontId="130" fillId="7" borderId="0" xfId="0" applyNumberFormat="1" applyFont="1" applyFill="1" applyBorder="1"/>
    <xf numFmtId="43" fontId="131" fillId="0" borderId="0" xfId="1" applyFont="1" applyFill="1" applyBorder="1" applyAlignment="1">
      <alignment horizontal="right"/>
    </xf>
    <xf numFmtId="43" fontId="131" fillId="0" borderId="2" xfId="1" applyFont="1" applyFill="1" applyBorder="1" applyAlignment="1">
      <alignment horizontal="right"/>
    </xf>
    <xf numFmtId="43" fontId="130" fillId="0" borderId="0" xfId="1" applyFont="1" applyFill="1" applyBorder="1" applyAlignment="1">
      <alignment horizontal="right"/>
    </xf>
    <xf numFmtId="3" fontId="130" fillId="0" borderId="0" xfId="0" applyNumberFormat="1" applyFont="1" applyFill="1"/>
    <xf numFmtId="2" fontId="131" fillId="0" borderId="0" xfId="0" applyNumberFormat="1" applyFont="1" applyFill="1" applyAlignment="1">
      <alignment horizontal="left" vertical="top"/>
    </xf>
    <xf numFmtId="0" fontId="133" fillId="6" borderId="0" xfId="3" applyFont="1" applyFill="1" applyAlignment="1">
      <alignment horizontal="left" vertical="top"/>
    </xf>
    <xf numFmtId="0" fontId="133" fillId="6" borderId="0" xfId="3" applyFont="1" applyFill="1" applyAlignment="1">
      <alignment horizontal="justify" vertical="top"/>
    </xf>
    <xf numFmtId="0" fontId="131" fillId="0" borderId="0" xfId="2" applyFont="1" applyFill="1" applyAlignment="1" applyProtection="1">
      <alignment vertical="top"/>
    </xf>
    <xf numFmtId="0" fontId="130" fillId="6" borderId="0" xfId="0" applyFont="1" applyFill="1" applyAlignment="1">
      <alignment vertical="top"/>
    </xf>
    <xf numFmtId="0" fontId="133" fillId="6" borderId="0" xfId="3" applyFont="1" applyFill="1" applyAlignment="1">
      <alignment vertical="top"/>
    </xf>
    <xf numFmtId="0" fontId="130" fillId="3" borderId="6" xfId="0" applyFont="1" applyFill="1" applyBorder="1"/>
    <xf numFmtId="0" fontId="130" fillId="3" borderId="6" xfId="0" applyFont="1" applyFill="1" applyBorder="1" applyAlignment="1">
      <alignment horizontal="justify" vertical="top" wrapText="1"/>
    </xf>
    <xf numFmtId="0" fontId="131" fillId="3" borderId="0" xfId="0" applyFont="1" applyFill="1" applyAlignment="1">
      <alignment horizontal="left"/>
    </xf>
    <xf numFmtId="0" fontId="130" fillId="3" borderId="0" xfId="0" applyFont="1" applyFill="1" applyAlignment="1">
      <alignment horizontal="justify" vertical="top" wrapText="1"/>
    </xf>
    <xf numFmtId="0" fontId="130" fillId="3" borderId="0" xfId="0" applyFont="1" applyFill="1"/>
    <xf numFmtId="0" fontId="129" fillId="0" borderId="0" xfId="0" quotePrefix="1" applyFont="1" applyBorder="1" applyAlignment="1">
      <alignment horizontal="left"/>
    </xf>
    <xf numFmtId="0" fontId="131" fillId="0" borderId="0" xfId="0" applyFont="1" applyFill="1" applyBorder="1" applyAlignment="1">
      <alignment horizontal="center" vertical="center" wrapText="1"/>
    </xf>
    <xf numFmtId="0" fontId="129" fillId="0" borderId="0" xfId="0" applyFont="1" applyFill="1" applyBorder="1" applyAlignment="1">
      <alignment horizontal="justify" vertical="top" wrapText="1"/>
    </xf>
    <xf numFmtId="166" fontId="130" fillId="0" borderId="0" xfId="0" applyNumberFormat="1" applyFont="1" applyBorder="1" applyAlignment="1">
      <alignment horizontal="right"/>
    </xf>
    <xf numFmtId="10" fontId="137" fillId="6" borderId="0" xfId="0" applyNumberFormat="1" applyFont="1" applyFill="1" applyBorder="1" applyAlignment="1">
      <alignment horizontal="center"/>
    </xf>
    <xf numFmtId="0" fontId="130" fillId="0" borderId="0" xfId="2" applyFont="1" applyFill="1" applyBorder="1" applyAlignment="1" applyProtection="1">
      <alignment horizontal="justify" vertical="top" wrapText="1"/>
    </xf>
    <xf numFmtId="0" fontId="134" fillId="0" borderId="0" xfId="0" applyFont="1" applyFill="1" applyBorder="1" applyAlignment="1">
      <alignment horizontal="justify" vertical="top" wrapText="1"/>
    </xf>
    <xf numFmtId="0" fontId="134" fillId="0" borderId="0" xfId="0" applyFont="1" applyFill="1" applyBorder="1" applyAlignment="1">
      <alignment horizontal="center" vertical="top" wrapText="1"/>
    </xf>
    <xf numFmtId="0" fontId="129" fillId="0" borderId="0" xfId="0" applyFont="1" applyFill="1" applyBorder="1" applyAlignment="1">
      <alignment horizontal="center" vertical="top" wrapText="1"/>
    </xf>
    <xf numFmtId="0" fontId="130" fillId="0" borderId="0" xfId="0" applyFont="1" applyBorder="1"/>
    <xf numFmtId="1" fontId="131" fillId="0" borderId="0" xfId="0" applyNumberFormat="1" applyFont="1" applyFill="1" applyBorder="1" applyAlignment="1">
      <alignment horizontal="justify" vertical="top" wrapText="1"/>
    </xf>
    <xf numFmtId="0" fontId="131" fillId="0" borderId="0" xfId="0" applyFont="1" applyFill="1" applyBorder="1" applyAlignment="1">
      <alignment horizontal="justify" wrapText="1"/>
    </xf>
    <xf numFmtId="0" fontId="136" fillId="0" borderId="0" xfId="0" applyFont="1" applyFill="1" applyBorder="1" applyAlignment="1">
      <alignment horizontal="center" vertical="top" wrapText="1"/>
    </xf>
    <xf numFmtId="0" fontId="147" fillId="0" borderId="0" xfId="0" applyFont="1" applyFill="1" applyBorder="1" applyAlignment="1">
      <alignment horizontal="center" vertical="top" wrapText="1"/>
    </xf>
    <xf numFmtId="0" fontId="138" fillId="6" borderId="0" xfId="0" applyFont="1" applyFill="1" applyAlignment="1">
      <alignment horizontal="center"/>
    </xf>
    <xf numFmtId="0" fontId="137" fillId="6" borderId="0" xfId="0" applyFont="1" applyFill="1" applyBorder="1" applyAlignment="1">
      <alignment horizontal="justify" vertical="top" wrapText="1"/>
    </xf>
    <xf numFmtId="164" fontId="137" fillId="6" borderId="0" xfId="0" applyNumberFormat="1" applyFont="1" applyFill="1" applyBorder="1" applyAlignment="1">
      <alignment horizontal="right"/>
    </xf>
    <xf numFmtId="0" fontId="137" fillId="6" borderId="0" xfId="0" applyFont="1" applyFill="1"/>
    <xf numFmtId="0" fontId="138" fillId="6" borderId="0" xfId="0" applyFont="1" applyFill="1" applyBorder="1" applyAlignment="1">
      <alignment horizontal="justify" vertical="top" wrapText="1"/>
    </xf>
    <xf numFmtId="1" fontId="138" fillId="6" borderId="0" xfId="0" applyNumberFormat="1" applyFont="1" applyFill="1" applyAlignment="1">
      <alignment horizontal="center"/>
    </xf>
    <xf numFmtId="0" fontId="137" fillId="6" borderId="0" xfId="0" applyFont="1" applyFill="1" applyBorder="1" applyAlignment="1">
      <alignment vertical="top"/>
    </xf>
    <xf numFmtId="166" fontId="138" fillId="6" borderId="0" xfId="0" applyNumberFormat="1" applyFont="1" applyFill="1" applyAlignment="1">
      <alignment horizontal="center"/>
    </xf>
    <xf numFmtId="0" fontId="137" fillId="6" borderId="0" xfId="0" applyFont="1" applyFill="1" applyBorder="1" applyAlignment="1">
      <alignment horizontal="left" vertical="top" indent="1"/>
    </xf>
    <xf numFmtId="0" fontId="138" fillId="6" borderId="0" xfId="0" applyFont="1" applyFill="1" applyBorder="1" applyAlignment="1">
      <alignment vertical="top"/>
    </xf>
    <xf numFmtId="0" fontId="131" fillId="0" borderId="0" xfId="0" applyFont="1" applyFill="1" applyBorder="1" applyAlignment="1">
      <alignment vertical="top" wrapText="1"/>
    </xf>
    <xf numFmtId="0" fontId="131" fillId="0" borderId="0" xfId="0" quotePrefix="1" applyFont="1" applyFill="1"/>
    <xf numFmtId="1" fontId="131" fillId="0" borderId="0" xfId="0" applyNumberFormat="1" applyFont="1" applyFill="1" applyAlignment="1">
      <alignment horizontal="center"/>
    </xf>
    <xf numFmtId="166" fontId="131" fillId="0" borderId="0" xfId="0" applyNumberFormat="1" applyFont="1" applyFill="1" applyAlignment="1">
      <alignment horizontal="center"/>
    </xf>
    <xf numFmtId="166" fontId="130" fillId="0" borderId="2" xfId="0" applyNumberFormat="1" applyFont="1" applyFill="1" applyBorder="1"/>
    <xf numFmtId="0" fontId="131" fillId="5" borderId="0" xfId="0" applyFont="1" applyFill="1"/>
    <xf numFmtId="0" fontId="130" fillId="5" borderId="0" xfId="0" applyFont="1" applyFill="1"/>
    <xf numFmtId="0" fontId="131" fillId="5" borderId="0" xfId="0" applyFont="1" applyFill="1" applyAlignment="1">
      <alignment horizontal="center" vertical="top" wrapText="1"/>
    </xf>
    <xf numFmtId="1" fontId="131" fillId="5" borderId="0" xfId="0" applyNumberFormat="1" applyFont="1" applyFill="1" applyAlignment="1">
      <alignment horizontal="center"/>
    </xf>
    <xf numFmtId="165" fontId="130" fillId="5" borderId="0" xfId="0" applyNumberFormat="1" applyFont="1" applyFill="1"/>
    <xf numFmtId="0" fontId="130" fillId="5" borderId="0" xfId="0" applyFont="1" applyFill="1" applyBorder="1"/>
    <xf numFmtId="0" fontId="131" fillId="5" borderId="0" xfId="0" applyFont="1" applyFill="1" applyBorder="1"/>
    <xf numFmtId="165" fontId="131" fillId="5" borderId="2" xfId="0" applyNumberFormat="1" applyFont="1" applyFill="1" applyBorder="1"/>
    <xf numFmtId="1" fontId="131" fillId="5" borderId="0" xfId="0" applyNumberFormat="1" applyFont="1" applyFill="1" applyBorder="1" applyAlignment="1">
      <alignment horizontal="center"/>
    </xf>
    <xf numFmtId="1" fontId="131" fillId="0" borderId="0" xfId="0" applyNumberFormat="1" applyFont="1" applyFill="1" applyAlignment="1">
      <alignment horizontal="right"/>
    </xf>
    <xf numFmtId="165" fontId="131" fillId="0" borderId="2" xfId="0" applyNumberFormat="1" applyFont="1" applyFill="1" applyBorder="1"/>
    <xf numFmtId="0" fontId="131" fillId="0" borderId="0" xfId="0" applyFont="1"/>
    <xf numFmtId="165" fontId="130" fillId="0" borderId="0" xfId="0" applyNumberFormat="1" applyFont="1"/>
    <xf numFmtId="165" fontId="130" fillId="0" borderId="2" xfId="0" applyNumberFormat="1" applyFont="1" applyBorder="1"/>
    <xf numFmtId="0" fontId="130" fillId="0" borderId="0" xfId="0" applyFont="1" applyAlignment="1">
      <alignment vertical="top"/>
    </xf>
    <xf numFmtId="0" fontId="130" fillId="0" borderId="0" xfId="0" applyFont="1" applyAlignment="1">
      <alignment vertical="top" wrapText="1"/>
    </xf>
    <xf numFmtId="171" fontId="130" fillId="0" borderId="0" xfId="0" applyNumberFormat="1" applyFont="1" applyBorder="1" applyAlignment="1">
      <alignment horizontal="center"/>
    </xf>
    <xf numFmtId="171" fontId="130" fillId="0" borderId="2" xfId="0" applyNumberFormat="1" applyFont="1" applyBorder="1" applyAlignment="1">
      <alignment horizontal="center"/>
    </xf>
    <xf numFmtId="0" fontId="130" fillId="0" borderId="0" xfId="0" applyFont="1" applyBorder="1" applyAlignment="1">
      <alignment wrapText="1"/>
    </xf>
    <xf numFmtId="0" fontId="130" fillId="0" borderId="2" xfId="0" applyFont="1" applyBorder="1" applyAlignment="1">
      <alignment wrapText="1"/>
    </xf>
    <xf numFmtId="0" fontId="130" fillId="0" borderId="13" xfId="0" applyFont="1" applyFill="1" applyBorder="1"/>
    <xf numFmtId="0" fontId="130" fillId="0" borderId="13" xfId="0" applyFont="1" applyFill="1" applyBorder="1" applyAlignment="1">
      <alignment vertical="top" wrapText="1"/>
    </xf>
    <xf numFmtId="0" fontId="130" fillId="0" borderId="0" xfId="0" applyFont="1" applyBorder="1" applyAlignment="1">
      <alignment vertical="top" wrapText="1"/>
    </xf>
    <xf numFmtId="0" fontId="130" fillId="0" borderId="13" xfId="0" applyFont="1" applyFill="1" applyBorder="1" applyAlignment="1">
      <alignment horizontal="center"/>
    </xf>
    <xf numFmtId="0" fontId="130" fillId="0" borderId="12" xfId="0" applyFont="1" applyFill="1" applyBorder="1" applyAlignment="1">
      <alignment horizontal="center"/>
    </xf>
    <xf numFmtId="1" fontId="131" fillId="0" borderId="1" xfId="0" applyNumberFormat="1" applyFont="1" applyFill="1" applyBorder="1"/>
    <xf numFmtId="0" fontId="130" fillId="0" borderId="1" xfId="0" applyFont="1" applyFill="1" applyBorder="1"/>
    <xf numFmtId="0" fontId="130" fillId="0" borderId="15" xfId="0" applyFont="1" applyFill="1" applyBorder="1" applyAlignment="1">
      <alignment horizontal="center"/>
    </xf>
    <xf numFmtId="0" fontId="130" fillId="0" borderId="1" xfId="0" applyFont="1" applyFill="1" applyBorder="1" applyAlignment="1">
      <alignment horizontal="center"/>
    </xf>
    <xf numFmtId="0" fontId="130" fillId="0" borderId="14" xfId="0" applyFont="1" applyFill="1" applyBorder="1" applyAlignment="1">
      <alignment horizontal="center"/>
    </xf>
    <xf numFmtId="0" fontId="131" fillId="0" borderId="10" xfId="0" applyFont="1" applyFill="1" applyBorder="1"/>
    <xf numFmtId="0" fontId="130" fillId="0" borderId="6" xfId="0" applyFont="1" applyFill="1" applyBorder="1"/>
    <xf numFmtId="0" fontId="130" fillId="0" borderId="11" xfId="0" applyFont="1" applyFill="1" applyBorder="1" applyAlignment="1">
      <alignment horizontal="center"/>
    </xf>
    <xf numFmtId="0" fontId="130" fillId="0" borderId="10" xfId="0" applyFont="1" applyFill="1" applyBorder="1" applyAlignment="1">
      <alignment horizontal="right"/>
    </xf>
    <xf numFmtId="0" fontId="130" fillId="0" borderId="11" xfId="0" applyFont="1" applyFill="1" applyBorder="1" applyAlignment="1">
      <alignment horizontal="right"/>
    </xf>
    <xf numFmtId="0" fontId="130" fillId="0" borderId="6" xfId="0" applyFont="1" applyFill="1" applyBorder="1" applyAlignment="1">
      <alignment horizontal="right"/>
    </xf>
    <xf numFmtId="171" fontId="130" fillId="0" borderId="13" xfId="0" applyNumberFormat="1" applyFont="1" applyBorder="1" applyAlignment="1">
      <alignment horizontal="center"/>
    </xf>
    <xf numFmtId="171" fontId="130" fillId="0" borderId="12" xfId="0" applyNumberFormat="1" applyFont="1" applyFill="1" applyBorder="1" applyAlignment="1">
      <alignment horizontal="center"/>
    </xf>
    <xf numFmtId="171" fontId="130" fillId="0" borderId="13" xfId="0" applyNumberFormat="1" applyFont="1" applyFill="1" applyBorder="1" applyAlignment="1">
      <alignment horizontal="center"/>
    </xf>
    <xf numFmtId="171" fontId="130" fillId="0" borderId="0" xfId="0" applyNumberFormat="1" applyFont="1" applyFill="1" applyBorder="1" applyAlignment="1">
      <alignment horizontal="center"/>
    </xf>
    <xf numFmtId="0" fontId="130" fillId="0" borderId="12" xfId="0" applyFont="1" applyFill="1" applyBorder="1" applyAlignment="1">
      <alignment vertical="top" wrapText="1"/>
    </xf>
    <xf numFmtId="0" fontId="131" fillId="0" borderId="12" xfId="0" applyFont="1" applyFill="1" applyBorder="1"/>
    <xf numFmtId="171" fontId="130" fillId="0" borderId="15" xfId="0" applyNumberFormat="1" applyFont="1" applyBorder="1" applyAlignment="1">
      <alignment horizontal="center"/>
    </xf>
    <xf numFmtId="171" fontId="130" fillId="0" borderId="14" xfId="0" applyNumberFormat="1" applyFont="1" applyFill="1" applyBorder="1" applyAlignment="1">
      <alignment horizontal="center"/>
    </xf>
    <xf numFmtId="171" fontId="130" fillId="0" borderId="15" xfId="0" applyNumberFormat="1" applyFont="1" applyFill="1" applyBorder="1" applyAlignment="1">
      <alignment horizontal="center"/>
    </xf>
    <xf numFmtId="165" fontId="130" fillId="0" borderId="0" xfId="0" applyNumberFormat="1" applyFont="1" applyFill="1" applyBorder="1" applyAlignment="1">
      <alignment vertical="top"/>
    </xf>
    <xf numFmtId="3" fontId="130" fillId="0" borderId="0" xfId="0" applyNumberFormat="1" applyFont="1" applyFill="1" applyBorder="1" applyAlignment="1">
      <alignment vertical="top"/>
    </xf>
    <xf numFmtId="0" fontId="131" fillId="0" borderId="10" xfId="0" applyFont="1" applyBorder="1"/>
    <xf numFmtId="0" fontId="130" fillId="0" borderId="6" xfId="0" applyFont="1" applyBorder="1"/>
    <xf numFmtId="0" fontId="130" fillId="0" borderId="6" xfId="0" applyFont="1" applyBorder="1" applyAlignment="1">
      <alignment horizontal="right"/>
    </xf>
    <xf numFmtId="0" fontId="130" fillId="0" borderId="10" xfId="0" applyFont="1" applyBorder="1" applyAlignment="1">
      <alignment horizontal="right"/>
    </xf>
    <xf numFmtId="0" fontId="130" fillId="0" borderId="11" xfId="0" applyFont="1" applyBorder="1" applyAlignment="1">
      <alignment horizontal="right"/>
    </xf>
    <xf numFmtId="171" fontId="130" fillId="0" borderId="12" xfId="0" applyNumberFormat="1" applyFont="1" applyBorder="1" applyAlignment="1">
      <alignment horizontal="center"/>
    </xf>
    <xf numFmtId="0" fontId="131" fillId="0" borderId="12" xfId="0" applyFont="1" applyBorder="1"/>
    <xf numFmtId="171" fontId="130" fillId="0" borderId="1" xfId="0" applyNumberFormat="1" applyFont="1" applyBorder="1" applyAlignment="1">
      <alignment horizontal="center"/>
    </xf>
    <xf numFmtId="171" fontId="130" fillId="0" borderId="14" xfId="0" applyNumberFormat="1" applyFont="1" applyBorder="1" applyAlignment="1">
      <alignment horizontal="center"/>
    </xf>
    <xf numFmtId="0" fontId="139" fillId="0" borderId="0" xfId="0" applyFont="1" applyFill="1"/>
    <xf numFmtId="0" fontId="130" fillId="11" borderId="0" xfId="16" applyFont="1" applyFill="1"/>
    <xf numFmtId="0" fontId="130" fillId="0" borderId="0" xfId="16" applyFont="1" applyFill="1" applyAlignment="1">
      <alignment horizontal="left"/>
    </xf>
    <xf numFmtId="0" fontId="130" fillId="0" borderId="0" xfId="16" applyFont="1" applyFill="1" applyAlignment="1">
      <alignment vertical="top"/>
    </xf>
    <xf numFmtId="0" fontId="130" fillId="0" borderId="0" xfId="16" applyFont="1" applyFill="1" applyAlignment="1">
      <alignment horizontal="justify" vertical="top" wrapText="1"/>
    </xf>
    <xf numFmtId="0" fontId="130" fillId="0" borderId="0" xfId="16" applyFont="1" applyFill="1"/>
    <xf numFmtId="0" fontId="130" fillId="0" borderId="0" xfId="16" applyFont="1" applyFill="1" applyAlignment="1">
      <alignment horizontal="right"/>
    </xf>
    <xf numFmtId="0" fontId="131" fillId="11" borderId="0" xfId="16" applyFont="1" applyFill="1" applyAlignment="1">
      <alignment horizontal="left"/>
    </xf>
    <xf numFmtId="0" fontId="131" fillId="0" borderId="0" xfId="16" applyFont="1" applyFill="1" applyAlignment="1">
      <alignment horizontal="left"/>
    </xf>
    <xf numFmtId="1" fontId="131" fillId="0" borderId="0" xfId="16" applyNumberFormat="1" applyFont="1" applyFill="1" applyBorder="1" applyAlignment="1">
      <alignment horizontal="center"/>
    </xf>
    <xf numFmtId="0" fontId="131" fillId="0" borderId="0" xfId="16" applyFont="1" applyFill="1" applyBorder="1" applyAlignment="1">
      <alignment horizontal="center"/>
    </xf>
    <xf numFmtId="3" fontId="131" fillId="0" borderId="0" xfId="16" quotePrefix="1" applyNumberFormat="1" applyFont="1" applyFill="1" applyAlignment="1">
      <alignment horizontal="center"/>
    </xf>
    <xf numFmtId="0" fontId="130" fillId="0" borderId="0" xfId="16" applyFont="1" applyFill="1" applyAlignment="1">
      <alignment horizontal="left" vertical="top"/>
    </xf>
    <xf numFmtId="0" fontId="130" fillId="0" borderId="0" xfId="16" applyFont="1" applyFill="1" applyAlignment="1">
      <alignment horizontal="left" vertical="top" wrapText="1"/>
    </xf>
    <xf numFmtId="3" fontId="130" fillId="0" borderId="0" xfId="16" applyNumberFormat="1" applyFont="1" applyFill="1"/>
    <xf numFmtId="3" fontId="130" fillId="0" borderId="0" xfId="16" quotePrefix="1" applyNumberFormat="1" applyFont="1" applyFill="1" applyBorder="1" applyAlignment="1">
      <alignment horizontal="center"/>
    </xf>
    <xf numFmtId="3" fontId="131" fillId="0" borderId="0" xfId="16" applyNumberFormat="1" applyFont="1" applyFill="1" applyAlignment="1">
      <alignment horizontal="center"/>
    </xf>
    <xf numFmtId="0" fontId="131" fillId="0" borderId="0" xfId="16" applyFont="1" applyFill="1" applyAlignment="1">
      <alignment vertical="top" wrapText="1"/>
    </xf>
    <xf numFmtId="10" fontId="130" fillId="0" borderId="0" xfId="16" applyNumberFormat="1" applyFont="1" applyFill="1" applyAlignment="1">
      <alignment vertical="center"/>
    </xf>
    <xf numFmtId="0" fontId="131" fillId="11" borderId="0" xfId="16" applyFont="1" applyFill="1" applyAlignment="1">
      <alignment horizontal="left" vertical="top"/>
    </xf>
    <xf numFmtId="0" fontId="130" fillId="11" borderId="0" xfId="16" applyFont="1" applyFill="1" applyAlignment="1">
      <alignment horizontal="left" vertical="top" wrapText="1"/>
    </xf>
    <xf numFmtId="0" fontId="131" fillId="0" borderId="0" xfId="16" applyFont="1" applyFill="1" applyAlignment="1">
      <alignment horizontal="left" vertical="top"/>
    </xf>
    <xf numFmtId="0" fontId="130" fillId="0" borderId="0" xfId="16" quotePrefix="1" applyFont="1" applyFill="1" applyBorder="1" applyAlignment="1">
      <alignment horizontal="center" vertical="top"/>
    </xf>
    <xf numFmtId="0" fontId="130" fillId="0" borderId="0" xfId="16" applyFont="1" applyFill="1" applyBorder="1" applyAlignment="1">
      <alignment horizontal="left" vertical="top" wrapText="1"/>
    </xf>
    <xf numFmtId="0" fontId="131" fillId="0" borderId="0" xfId="16" applyFont="1" applyFill="1" applyAlignment="1">
      <alignment vertical="top"/>
    </xf>
    <xf numFmtId="0" fontId="131" fillId="0" borderId="0" xfId="16" applyFont="1" applyFill="1" applyAlignment="1">
      <alignment horizontal="left" vertical="top" wrapText="1"/>
    </xf>
    <xf numFmtId="0" fontId="131" fillId="0" borderId="0" xfId="16" applyFont="1" applyFill="1" applyAlignment="1">
      <alignment horizontal="center"/>
    </xf>
    <xf numFmtId="3" fontId="130" fillId="0" borderId="0" xfId="16" applyNumberFormat="1" applyFont="1" applyFill="1" applyAlignment="1">
      <alignment horizontal="center"/>
    </xf>
    <xf numFmtId="0" fontId="133" fillId="0" borderId="0" xfId="3" applyFont="1" applyAlignment="1">
      <alignment vertical="top" wrapText="1"/>
    </xf>
    <xf numFmtId="0" fontId="133" fillId="0" borderId="0" xfId="3" applyFont="1" applyAlignment="1">
      <alignment horizontal="center" vertical="top" wrapText="1"/>
    </xf>
    <xf numFmtId="0" fontId="134" fillId="0" borderId="0" xfId="16" applyFont="1" applyFill="1" applyAlignment="1">
      <alignment horizontal="left" vertical="top" wrapText="1"/>
    </xf>
    <xf numFmtId="0" fontId="130" fillId="8" borderId="0" xfId="0" applyFont="1" applyFill="1" applyAlignment="1">
      <alignment horizontal="center" wrapText="1"/>
    </xf>
    <xf numFmtId="0" fontId="155" fillId="0" borderId="0" xfId="16" applyFont="1" applyFill="1" applyBorder="1" applyAlignment="1">
      <alignment horizontal="left" vertical="top" wrapText="1"/>
    </xf>
    <xf numFmtId="0" fontId="130" fillId="11" borderId="0" xfId="16" applyFont="1" applyFill="1" applyAlignment="1">
      <alignment vertical="top"/>
    </xf>
    <xf numFmtId="0" fontId="130" fillId="0" borderId="0" xfId="16" applyFont="1" applyBorder="1" applyAlignment="1">
      <alignment horizontal="left"/>
    </xf>
    <xf numFmtId="0" fontId="130" fillId="0" borderId="0" xfId="16" applyFont="1" applyFill="1" applyBorder="1"/>
    <xf numFmtId="0" fontId="134" fillId="0" borderId="0" xfId="16" applyFont="1" applyFill="1" applyBorder="1" applyAlignment="1">
      <alignment horizontal="left" vertical="top" wrapText="1"/>
    </xf>
    <xf numFmtId="3" fontId="130" fillId="0" borderId="0" xfId="16" applyNumberFormat="1" applyFont="1" applyFill="1" applyBorder="1"/>
    <xf numFmtId="0" fontId="130" fillId="0" borderId="0" xfId="16" applyFont="1" applyFill="1" applyBorder="1" applyAlignment="1">
      <alignment horizontal="left"/>
    </xf>
    <xf numFmtId="0" fontId="131" fillId="11" borderId="0" xfId="16" applyFont="1" applyFill="1" applyAlignment="1">
      <alignment vertical="top"/>
    </xf>
    <xf numFmtId="10" fontId="130" fillId="0" borderId="0" xfId="16" applyNumberFormat="1" applyFont="1" applyFill="1" applyBorder="1" applyAlignment="1">
      <alignment vertical="center"/>
    </xf>
    <xf numFmtId="0" fontId="133" fillId="0" borderId="0" xfId="3" applyFont="1" applyFill="1" applyAlignment="1">
      <alignment horizontal="center" vertical="top" wrapText="1"/>
    </xf>
    <xf numFmtId="0" fontId="129" fillId="0" borderId="0" xfId="16" applyFont="1" applyFill="1" applyAlignment="1">
      <alignment vertical="top"/>
    </xf>
    <xf numFmtId="0" fontId="130" fillId="0" borderId="0" xfId="16" applyFont="1" applyFill="1" applyBorder="1" applyAlignment="1">
      <alignment horizontal="right"/>
    </xf>
    <xf numFmtId="0" fontId="134" fillId="0" borderId="0" xfId="16" applyFont="1" applyFill="1" applyBorder="1" applyAlignment="1">
      <alignment horizontal="left" vertical="top"/>
    </xf>
    <xf numFmtId="0" fontId="130" fillId="0" borderId="1" xfId="16" applyFont="1" applyFill="1" applyBorder="1" applyAlignment="1">
      <alignment horizontal="left" vertical="top"/>
    </xf>
    <xf numFmtId="0" fontId="130" fillId="0" borderId="1" xfId="16" applyFont="1" applyFill="1" applyBorder="1" applyAlignment="1">
      <alignment horizontal="left" vertical="top" wrapText="1"/>
    </xf>
    <xf numFmtId="0" fontId="137" fillId="0" borderId="0" xfId="16" applyFont="1" applyFill="1" applyBorder="1" applyAlignment="1">
      <alignment horizontal="left" vertical="top"/>
    </xf>
    <xf numFmtId="0" fontId="137" fillId="0" borderId="0" xfId="16" applyFont="1" applyFill="1" applyBorder="1" applyAlignment="1">
      <alignment horizontal="left" vertical="top" wrapText="1"/>
    </xf>
    <xf numFmtId="0" fontId="130" fillId="0" borderId="0" xfId="16" applyFont="1" applyFill="1" applyBorder="1" applyAlignment="1">
      <alignment vertical="top" wrapText="1"/>
    </xf>
    <xf numFmtId="0" fontId="130" fillId="0" borderId="0" xfId="16" applyFont="1" applyFill="1" applyBorder="1" applyAlignment="1">
      <alignment horizontal="left" vertical="top"/>
    </xf>
    <xf numFmtId="0" fontId="130" fillId="0" borderId="0" xfId="16" applyFont="1" applyFill="1" applyBorder="1" applyAlignment="1">
      <alignment horizontal="center" vertical="top" wrapText="1"/>
    </xf>
    <xf numFmtId="0" fontId="137" fillId="0" borderId="0" xfId="16" applyFont="1" applyFill="1" applyAlignment="1">
      <alignment horizontal="left" vertical="top"/>
    </xf>
    <xf numFmtId="0" fontId="138" fillId="0" borderId="0" xfId="16" applyFont="1" applyFill="1" applyAlignment="1">
      <alignment horizontal="left" vertical="top"/>
    </xf>
    <xf numFmtId="0" fontId="130" fillId="11" borderId="0" xfId="16" applyFont="1" applyFill="1" applyBorder="1"/>
    <xf numFmtId="0" fontId="131" fillId="0" borderId="0" xfId="3" applyFont="1" applyBorder="1" applyAlignment="1">
      <alignment horizontal="left" vertical="top"/>
    </xf>
    <xf numFmtId="0" fontId="133" fillId="0" borderId="0" xfId="3" applyFont="1" applyBorder="1" applyAlignment="1">
      <alignment horizontal="left" vertical="top" wrapText="1"/>
    </xf>
    <xf numFmtId="3" fontId="131" fillId="0" borderId="0" xfId="16" applyNumberFormat="1" applyFont="1" applyFill="1" applyBorder="1" applyAlignment="1">
      <alignment horizontal="center"/>
    </xf>
    <xf numFmtId="0" fontId="133" fillId="0" borderId="0" xfId="3" applyFont="1" applyAlignment="1">
      <alignment horizontal="left" vertical="top" wrapText="1"/>
    </xf>
    <xf numFmtId="0" fontId="137" fillId="0" borderId="0" xfId="3" applyFont="1" applyBorder="1" applyAlignment="1">
      <alignment horizontal="left" vertical="top" wrapText="1"/>
    </xf>
    <xf numFmtId="0" fontId="131" fillId="0" borderId="0" xfId="16" applyFont="1" applyFill="1" applyBorder="1" applyAlignment="1">
      <alignment vertical="top"/>
    </xf>
    <xf numFmtId="0" fontId="130" fillId="8" borderId="0" xfId="16" applyFont="1" applyFill="1" applyBorder="1"/>
    <xf numFmtId="0" fontId="142" fillId="0" borderId="0" xfId="3" applyFont="1" applyBorder="1" applyAlignment="1">
      <alignment horizontal="left" vertical="top" wrapText="1"/>
    </xf>
    <xf numFmtId="0" fontId="147" fillId="0" borderId="0" xfId="16" applyFont="1" applyFill="1" applyBorder="1" applyAlignment="1">
      <alignment vertical="top"/>
    </xf>
    <xf numFmtId="0" fontId="134" fillId="0" borderId="0" xfId="16" applyFont="1" applyFill="1" applyBorder="1" applyAlignment="1">
      <alignment vertical="top"/>
    </xf>
    <xf numFmtId="0" fontId="130" fillId="11" borderId="0" xfId="0" applyFont="1" applyFill="1" applyBorder="1"/>
    <xf numFmtId="0" fontId="136" fillId="0" borderId="0" xfId="0" applyFont="1" applyFill="1" applyAlignment="1">
      <alignment horizontal="left" vertical="top" wrapText="1"/>
    </xf>
    <xf numFmtId="0" fontId="130" fillId="8" borderId="0" xfId="16" applyFont="1" applyFill="1" applyBorder="1" applyAlignment="1">
      <alignment horizontal="left"/>
    </xf>
    <xf numFmtId="0" fontId="155" fillId="0" borderId="0" xfId="16" applyFont="1" applyFill="1" applyBorder="1" applyAlignment="1">
      <alignment vertical="top"/>
    </xf>
    <xf numFmtId="0" fontId="130" fillId="6" borderId="0" xfId="16" applyFont="1" applyFill="1" applyBorder="1" applyAlignment="1">
      <alignment vertical="top"/>
    </xf>
    <xf numFmtId="0" fontId="135" fillId="0" borderId="0" xfId="16" applyFont="1" applyFill="1" applyAlignment="1">
      <alignment horizontal="left"/>
    </xf>
    <xf numFmtId="0" fontId="135" fillId="0" borderId="0" xfId="16" applyFont="1" applyFill="1" applyAlignment="1">
      <alignment horizontal="left" vertical="top"/>
    </xf>
    <xf numFmtId="0" fontId="140" fillId="0" borderId="0" xfId="16" applyFont="1" applyFill="1" applyAlignment="1">
      <alignment horizontal="left" vertical="top" wrapText="1"/>
    </xf>
    <xf numFmtId="0" fontId="140" fillId="0" borderId="0" xfId="16" applyFont="1" applyFill="1"/>
    <xf numFmtId="1" fontId="135" fillId="0" borderId="0" xfId="16" applyNumberFormat="1" applyFont="1" applyFill="1" applyBorder="1" applyAlignment="1">
      <alignment horizontal="center"/>
    </xf>
    <xf numFmtId="0" fontId="130" fillId="0" borderId="0" xfId="3" applyFont="1" applyFill="1" applyAlignment="1">
      <alignment horizontal="left" vertical="top" wrapText="1"/>
    </xf>
    <xf numFmtId="0" fontId="140" fillId="0" borderId="0" xfId="16" applyFont="1" applyFill="1" applyBorder="1" applyAlignment="1">
      <alignment horizontal="left"/>
    </xf>
    <xf numFmtId="0" fontId="130" fillId="0" borderId="15" xfId="16" applyFont="1" applyFill="1" applyBorder="1" applyAlignment="1">
      <alignment horizontal="left" vertical="top" wrapText="1"/>
    </xf>
    <xf numFmtId="0" fontId="130" fillId="0" borderId="8" xfId="3" applyFont="1" applyFill="1" applyBorder="1" applyAlignment="1">
      <alignment horizontal="center" vertical="top" wrapText="1"/>
    </xf>
    <xf numFmtId="0" fontId="137" fillId="0" borderId="7" xfId="3" applyFont="1" applyFill="1" applyBorder="1" applyAlignment="1">
      <alignment horizontal="left" vertical="top" wrapText="1"/>
    </xf>
    <xf numFmtId="3" fontId="137" fillId="0" borderId="8" xfId="3" applyNumberFormat="1" applyFont="1" applyFill="1" applyBorder="1" applyAlignment="1">
      <alignment horizontal="center" vertical="top" wrapText="1"/>
    </xf>
    <xf numFmtId="0" fontId="130" fillId="0" borderId="7" xfId="3" applyFont="1" applyFill="1" applyBorder="1" applyAlignment="1">
      <alignment horizontal="left" vertical="top" wrapText="1"/>
    </xf>
    <xf numFmtId="3" fontId="130" fillId="0" borderId="8" xfId="3" applyNumberFormat="1" applyFont="1" applyFill="1" applyBorder="1" applyAlignment="1">
      <alignment horizontal="center" vertical="top" wrapText="1"/>
    </xf>
    <xf numFmtId="0" fontId="131" fillId="0" borderId="0" xfId="16" applyFont="1" applyFill="1" applyBorder="1" applyAlignment="1">
      <alignment vertical="top" wrapText="1"/>
    </xf>
    <xf numFmtId="0" fontId="130" fillId="6" borderId="0" xfId="16" applyFont="1" applyFill="1" applyBorder="1" applyAlignment="1">
      <alignment horizontal="left" vertical="top"/>
    </xf>
    <xf numFmtId="0" fontId="130" fillId="6" borderId="0" xfId="16" applyFont="1" applyFill="1" applyBorder="1" applyAlignment="1">
      <alignment horizontal="left" vertical="top" wrapText="1"/>
    </xf>
    <xf numFmtId="0" fontId="136" fillId="0" borderId="0" xfId="16" applyFont="1" applyFill="1" applyBorder="1" applyAlignment="1">
      <alignment horizontal="left" vertical="top" wrapText="1"/>
    </xf>
    <xf numFmtId="1" fontId="136" fillId="0" borderId="0" xfId="16" applyNumberFormat="1" applyFont="1" applyFill="1" applyBorder="1" applyAlignment="1">
      <alignment horizontal="center" vertical="top" wrapText="1"/>
    </xf>
    <xf numFmtId="0" fontId="136" fillId="0" borderId="2" xfId="16" applyFont="1" applyFill="1" applyBorder="1" applyAlignment="1">
      <alignment horizontal="left" vertical="top" wrapText="1"/>
    </xf>
    <xf numFmtId="164" fontId="137" fillId="0" borderId="2" xfId="1" applyNumberFormat="1" applyFont="1" applyFill="1" applyBorder="1" applyAlignment="1">
      <alignment horizontal="right"/>
    </xf>
    <xf numFmtId="0" fontId="137" fillId="0" borderId="0" xfId="16" applyFont="1" applyFill="1" applyBorder="1" applyAlignment="1">
      <alignment vertical="top"/>
    </xf>
    <xf numFmtId="164" fontId="137" fillId="0" borderId="0" xfId="16" applyNumberFormat="1" applyFont="1" applyFill="1" applyBorder="1" applyAlignment="1">
      <alignment horizontal="left" vertical="top" wrapText="1"/>
    </xf>
    <xf numFmtId="164" fontId="138" fillId="0" borderId="2" xfId="16" applyNumberFormat="1" applyFont="1" applyFill="1" applyBorder="1" applyAlignment="1">
      <alignment horizontal="left" vertical="top" wrapText="1"/>
    </xf>
    <xf numFmtId="0" fontId="131" fillId="0" borderId="0" xfId="16" applyFont="1" applyFill="1"/>
    <xf numFmtId="0" fontId="130" fillId="8" borderId="0" xfId="16" applyFont="1" applyFill="1"/>
    <xf numFmtId="2" fontId="131" fillId="0" borderId="0" xfId="16" applyNumberFormat="1" applyFont="1" applyFill="1" applyAlignment="1">
      <alignment horizontal="left"/>
    </xf>
    <xf numFmtId="0" fontId="130" fillId="6" borderId="0" xfId="16" applyFont="1" applyFill="1"/>
    <xf numFmtId="0" fontId="130" fillId="0" borderId="0" xfId="16" applyFont="1"/>
    <xf numFmtId="0" fontId="135" fillId="0" borderId="0" xfId="0" applyFont="1" applyFill="1" applyAlignment="1"/>
    <xf numFmtId="0" fontId="140" fillId="0" borderId="0" xfId="0" applyFont="1" applyFill="1"/>
    <xf numFmtId="0" fontId="131" fillId="0" borderId="0" xfId="0" applyFont="1" applyFill="1" applyAlignment="1">
      <alignment horizontal="center" vertical="center" wrapText="1"/>
    </xf>
    <xf numFmtId="0" fontId="131" fillId="0" borderId="0" xfId="0" applyFont="1" applyFill="1" applyAlignment="1">
      <alignment horizontal="center" vertical="center"/>
    </xf>
    <xf numFmtId="0" fontId="156" fillId="0" borderId="0" xfId="0" applyFont="1" applyFill="1"/>
    <xf numFmtId="0" fontId="130" fillId="0" borderId="0" xfId="0" applyFont="1" applyFill="1" applyAlignment="1">
      <alignment horizontal="center" vertical="center"/>
    </xf>
    <xf numFmtId="0" fontId="157" fillId="0" borderId="0" xfId="0" applyFont="1" applyFill="1"/>
    <xf numFmtId="0" fontId="130" fillId="0" borderId="0" xfId="16" applyFont="1" applyBorder="1"/>
    <xf numFmtId="0" fontId="130" fillId="0" borderId="0" xfId="16" applyFont="1" applyFill="1" applyAlignment="1">
      <alignment vertical="center"/>
    </xf>
    <xf numFmtId="0" fontId="131" fillId="0" borderId="0" xfId="16" applyFont="1" applyAlignment="1">
      <alignment horizontal="center" vertical="top"/>
    </xf>
    <xf numFmtId="0" fontId="131" fillId="0" borderId="0" xfId="16" quotePrefix="1" applyFont="1" applyAlignment="1">
      <alignment horizontal="center"/>
    </xf>
    <xf numFmtId="0" fontId="131" fillId="0" borderId="0" xfId="16" applyFont="1" applyAlignment="1">
      <alignment horizontal="center" vertical="center" wrapText="1"/>
    </xf>
    <xf numFmtId="0" fontId="131" fillId="0" borderId="26" xfId="16" applyFont="1" applyBorder="1" applyAlignment="1">
      <alignment horizontal="center" wrapText="1"/>
    </xf>
    <xf numFmtId="0" fontId="131" fillId="0" borderId="26" xfId="16" applyFont="1" applyBorder="1" applyAlignment="1"/>
    <xf numFmtId="0" fontId="131" fillId="0" borderId="0" xfId="16" applyFont="1" applyBorder="1" applyAlignment="1">
      <alignment wrapText="1"/>
    </xf>
    <xf numFmtId="164" fontId="137" fillId="0" borderId="0" xfId="1" applyNumberFormat="1" applyFont="1" applyFill="1" applyBorder="1" applyAlignment="1">
      <alignment horizontal="right"/>
    </xf>
    <xf numFmtId="3" fontId="130" fillId="0" borderId="0" xfId="16" applyNumberFormat="1" applyFont="1" applyFill="1" applyBorder="1" applyAlignment="1"/>
    <xf numFmtId="164" fontId="131" fillId="0" borderId="2" xfId="1" applyNumberFormat="1" applyFont="1" applyFill="1" applyBorder="1" applyAlignment="1">
      <alignment horizontal="left"/>
    </xf>
    <xf numFmtId="3" fontId="131" fillId="0" borderId="0" xfId="16" applyNumberFormat="1" applyFont="1" applyFill="1" applyBorder="1" applyAlignment="1"/>
    <xf numFmtId="0" fontId="131" fillId="11" borderId="0" xfId="16" quotePrefix="1" applyFont="1" applyFill="1" applyAlignment="1">
      <alignment horizontal="center"/>
    </xf>
    <xf numFmtId="0" fontId="137" fillId="0" borderId="26" xfId="16" quotePrefix="1" applyFont="1" applyFill="1" applyBorder="1" applyAlignment="1">
      <alignment horizontal="left"/>
    </xf>
    <xf numFmtId="0" fontId="131" fillId="11" borderId="26" xfId="16" quotePrefix="1" applyFont="1" applyFill="1" applyBorder="1" applyAlignment="1">
      <alignment horizontal="center"/>
    </xf>
    <xf numFmtId="0" fontId="130" fillId="11" borderId="26" xfId="16" applyFont="1" applyFill="1" applyBorder="1"/>
    <xf numFmtId="0" fontId="133" fillId="11" borderId="26" xfId="3" applyFont="1" applyFill="1" applyBorder="1" applyAlignment="1">
      <alignment vertical="top"/>
    </xf>
    <xf numFmtId="0" fontId="130" fillId="11" borderId="26" xfId="16" applyFont="1" applyFill="1" applyBorder="1" applyAlignment="1">
      <alignment horizontal="left"/>
    </xf>
    <xf numFmtId="0" fontId="133" fillId="11" borderId="26" xfId="3" applyFont="1" applyFill="1" applyBorder="1" applyAlignment="1">
      <alignment vertical="top" wrapText="1"/>
    </xf>
    <xf numFmtId="3" fontId="131" fillId="11" borderId="0" xfId="16" applyNumberFormat="1" applyFont="1" applyFill="1" applyBorder="1" applyAlignment="1"/>
    <xf numFmtId="1" fontId="131" fillId="0" borderId="0" xfId="16" applyNumberFormat="1" applyFont="1" applyFill="1" applyAlignment="1">
      <alignment horizontal="left" vertical="center"/>
    </xf>
    <xf numFmtId="0" fontId="130" fillId="0" borderId="0" xfId="16" applyFont="1" applyAlignment="1">
      <alignment wrapText="1"/>
    </xf>
    <xf numFmtId="164" fontId="131" fillId="0" borderId="16" xfId="1" applyNumberFormat="1" applyFont="1" applyFill="1" applyBorder="1" applyAlignment="1">
      <alignment horizontal="left"/>
    </xf>
    <xf numFmtId="0" fontId="133" fillId="0" borderId="0" xfId="3" applyFont="1" applyFill="1" applyAlignment="1">
      <alignment vertical="top" wrapText="1"/>
    </xf>
    <xf numFmtId="0" fontId="133" fillId="0" borderId="0" xfId="3" applyFont="1" applyAlignment="1">
      <alignment horizontal="justify" vertical="top" wrapText="1"/>
    </xf>
    <xf numFmtId="3" fontId="133" fillId="0" borderId="0" xfId="3" applyNumberFormat="1" applyFont="1" applyAlignment="1">
      <alignment horizontal="justify" vertical="top" wrapText="1"/>
    </xf>
    <xf numFmtId="0" fontId="131" fillId="0" borderId="0" xfId="16" applyFont="1" applyAlignment="1">
      <alignment horizontal="center"/>
    </xf>
    <xf numFmtId="0" fontId="131" fillId="0" borderId="0" xfId="16" quotePrefix="1" applyFont="1" applyFill="1"/>
    <xf numFmtId="3" fontId="133" fillId="0" borderId="17" xfId="3" applyNumberFormat="1" applyFont="1" applyBorder="1" applyAlignment="1">
      <alignment horizontal="justify" vertical="top" wrapText="1"/>
    </xf>
    <xf numFmtId="3" fontId="133" fillId="0" borderId="0" xfId="3" applyNumberFormat="1" applyFont="1" applyBorder="1" applyAlignment="1">
      <alignment horizontal="justify" vertical="top" wrapText="1"/>
    </xf>
    <xf numFmtId="0" fontId="130" fillId="11" borderId="0" xfId="16" applyFont="1" applyFill="1" applyAlignment="1">
      <alignment vertical="center"/>
    </xf>
    <xf numFmtId="0" fontId="131" fillId="0" borderId="0" xfId="16" quotePrefix="1" applyFont="1" applyAlignment="1">
      <alignment horizontal="center" vertical="center"/>
    </xf>
    <xf numFmtId="0" fontId="131" fillId="0" borderId="0" xfId="16" applyFont="1" applyBorder="1" applyAlignment="1">
      <alignment horizontal="center" vertical="center" wrapText="1"/>
    </xf>
    <xf numFmtId="0" fontId="131" fillId="0" borderId="13" xfId="16" applyFont="1" applyBorder="1" applyAlignment="1">
      <alignment horizontal="center" vertical="center" wrapText="1"/>
    </xf>
    <xf numFmtId="0" fontId="131" fillId="0" borderId="10" xfId="16" applyFont="1" applyBorder="1" applyAlignment="1">
      <alignment horizontal="center" vertical="center" wrapText="1"/>
    </xf>
    <xf numFmtId="0" fontId="131" fillId="0" borderId="17" xfId="16" applyFont="1" applyBorder="1" applyAlignment="1">
      <alignment horizontal="center" vertical="center" wrapText="1"/>
    </xf>
    <xf numFmtId="0" fontId="131" fillId="0" borderId="36" xfId="16" applyFont="1" applyBorder="1" applyAlignment="1">
      <alignment horizontal="center" wrapText="1"/>
    </xf>
    <xf numFmtId="0" fontId="131" fillId="0" borderId="37" xfId="16" applyFont="1" applyBorder="1" applyAlignment="1">
      <alignment horizontal="center" wrapText="1"/>
    </xf>
    <xf numFmtId="3" fontId="137" fillId="0" borderId="12" xfId="1" applyNumberFormat="1" applyFont="1" applyFill="1" applyBorder="1" applyAlignment="1">
      <alignment horizontal="right"/>
    </xf>
    <xf numFmtId="164" fontId="137" fillId="0" borderId="17" xfId="1" applyNumberFormat="1" applyFont="1" applyFill="1" applyBorder="1" applyAlignment="1">
      <alignment horizontal="right"/>
    </xf>
    <xf numFmtId="3" fontId="131" fillId="0" borderId="2" xfId="1" applyNumberFormat="1" applyFont="1" applyFill="1" applyBorder="1" applyAlignment="1">
      <alignment horizontal="right"/>
    </xf>
    <xf numFmtId="164" fontId="129" fillId="0" borderId="0" xfId="1" applyNumberFormat="1" applyFont="1" applyFill="1" applyBorder="1" applyAlignment="1">
      <alignment horizontal="left"/>
    </xf>
    <xf numFmtId="164" fontId="131" fillId="0" borderId="0" xfId="1" applyNumberFormat="1" applyFont="1" applyFill="1" applyBorder="1" applyAlignment="1">
      <alignment horizontal="left"/>
    </xf>
    <xf numFmtId="164" fontId="131" fillId="0" borderId="11" xfId="1" applyNumberFormat="1" applyFont="1" applyFill="1" applyBorder="1" applyAlignment="1">
      <alignment horizontal="right"/>
    </xf>
    <xf numFmtId="3" fontId="131" fillId="0" borderId="6" xfId="1" applyNumberFormat="1" applyFont="1" applyFill="1" applyBorder="1" applyAlignment="1">
      <alignment horizontal="right"/>
    </xf>
    <xf numFmtId="164" fontId="137" fillId="0" borderId="13" xfId="1" applyNumberFormat="1" applyFont="1" applyFill="1" applyBorder="1" applyAlignment="1">
      <alignment horizontal="right"/>
    </xf>
    <xf numFmtId="3" fontId="137" fillId="0" borderId="0" xfId="1" applyNumberFormat="1" applyFont="1" applyFill="1" applyBorder="1" applyAlignment="1">
      <alignment horizontal="right"/>
    </xf>
    <xf numFmtId="164" fontId="137" fillId="0" borderId="15" xfId="1" applyNumberFormat="1" applyFont="1" applyFill="1" applyBorder="1" applyAlignment="1">
      <alignment horizontal="right"/>
    </xf>
    <xf numFmtId="164" fontId="131" fillId="0" borderId="1" xfId="1" applyNumberFormat="1" applyFont="1" applyFill="1" applyBorder="1" applyAlignment="1">
      <alignment horizontal="right"/>
    </xf>
    <xf numFmtId="1" fontId="131" fillId="0" borderId="1" xfId="16" applyNumberFormat="1" applyFont="1" applyFill="1" applyBorder="1" applyAlignment="1">
      <alignment horizontal="left" vertical="center"/>
    </xf>
    <xf numFmtId="3" fontId="133" fillId="0" borderId="18" xfId="3" applyNumberFormat="1" applyFont="1" applyBorder="1" applyAlignment="1">
      <alignment horizontal="justify" vertical="top" wrapText="1"/>
    </xf>
    <xf numFmtId="3" fontId="131" fillId="0" borderId="16" xfId="1" applyNumberFormat="1" applyFont="1" applyFill="1" applyBorder="1" applyAlignment="1">
      <alignment horizontal="right"/>
    </xf>
    <xf numFmtId="3" fontId="131" fillId="0" borderId="0" xfId="1" applyNumberFormat="1" applyFont="1" applyFill="1" applyBorder="1" applyAlignment="1">
      <alignment horizontal="center"/>
    </xf>
    <xf numFmtId="0" fontId="131" fillId="0" borderId="0" xfId="16" quotePrefix="1" applyFont="1" applyFill="1" applyAlignment="1">
      <alignment horizontal="center"/>
    </xf>
    <xf numFmtId="0" fontId="163" fillId="0" borderId="0" xfId="16" applyFont="1" applyFill="1"/>
    <xf numFmtId="0" fontId="129" fillId="0" borderId="0" xfId="16" applyFont="1"/>
    <xf numFmtId="0" fontId="129" fillId="0" borderId="0" xfId="16" applyFont="1" applyAlignment="1">
      <alignment horizontal="left"/>
    </xf>
    <xf numFmtId="0" fontId="135" fillId="0" borderId="0" xfId="16" applyFont="1"/>
    <xf numFmtId="0" fontId="130" fillId="0" borderId="0" xfId="16" applyFont="1" applyFill="1" applyAlignment="1">
      <alignment wrapText="1"/>
    </xf>
    <xf numFmtId="0" fontId="137" fillId="0" borderId="0" xfId="16" applyFont="1" applyFill="1"/>
    <xf numFmtId="0" fontId="163" fillId="0" borderId="0" xfId="16" quotePrefix="1" applyFont="1" applyFill="1" applyAlignment="1">
      <alignment horizontal="right" vertical="top"/>
    </xf>
    <xf numFmtId="0" fontId="137" fillId="0" borderId="0" xfId="16" applyFont="1" applyFill="1" applyAlignment="1">
      <alignment horizontal="left" vertical="top" wrapText="1"/>
    </xf>
    <xf numFmtId="0" fontId="133" fillId="0" borderId="0" xfId="3" applyFont="1" applyAlignment="1">
      <alignment horizontal="left" vertical="top"/>
    </xf>
    <xf numFmtId="0" fontId="137" fillId="0" borderId="0" xfId="16" applyFont="1" applyAlignment="1">
      <alignment horizontal="left" vertical="top" wrapText="1"/>
    </xf>
    <xf numFmtId="0" fontId="137" fillId="0" borderId="1" xfId="16" applyFont="1" applyBorder="1" applyAlignment="1">
      <alignment vertical="top"/>
    </xf>
    <xf numFmtId="0" fontId="137" fillId="0" borderId="0" xfId="16" applyFont="1" applyBorder="1" applyAlignment="1">
      <alignment vertical="top"/>
    </xf>
    <xf numFmtId="0" fontId="137" fillId="0" borderId="10" xfId="16" applyFont="1" applyBorder="1" applyAlignment="1">
      <alignment horizontal="left" wrapText="1"/>
    </xf>
    <xf numFmtId="0" fontId="137" fillId="0" borderId="6" xfId="16" applyFont="1" applyBorder="1" applyAlignment="1">
      <alignment horizontal="left" wrapText="1"/>
    </xf>
    <xf numFmtId="0" fontId="137" fillId="0" borderId="14" xfId="16" applyFont="1" applyBorder="1" applyAlignment="1">
      <alignment horizontal="left" wrapText="1"/>
    </xf>
    <xf numFmtId="0" fontId="137" fillId="0" borderId="1" xfId="16" applyFont="1" applyBorder="1" applyAlignment="1">
      <alignment horizontal="left" wrapText="1"/>
    </xf>
    <xf numFmtId="0" fontId="137" fillId="0" borderId="14" xfId="16" applyFont="1" applyBorder="1" applyAlignment="1">
      <alignment wrapText="1"/>
    </xf>
    <xf numFmtId="0" fontId="137" fillId="0" borderId="1" xfId="16" applyFont="1" applyBorder="1" applyAlignment="1">
      <alignment wrapText="1"/>
    </xf>
    <xf numFmtId="0" fontId="137" fillId="0" borderId="12" xfId="16" applyFont="1" applyBorder="1" applyAlignment="1">
      <alignment horizontal="left" wrapText="1"/>
    </xf>
    <xf numFmtId="0" fontId="137" fillId="0" borderId="0" xfId="16" applyFont="1" applyBorder="1" applyAlignment="1">
      <alignment horizontal="left" wrapText="1"/>
    </xf>
    <xf numFmtId="0" fontId="137" fillId="0" borderId="12" xfId="16" applyFont="1" applyBorder="1" applyAlignment="1">
      <alignment horizontal="left"/>
    </xf>
    <xf numFmtId="0" fontId="137" fillId="0" borderId="0" xfId="16" applyFont="1" applyBorder="1" applyAlignment="1">
      <alignment horizontal="left"/>
    </xf>
    <xf numFmtId="0" fontId="130" fillId="0" borderId="13" xfId="16" applyFont="1" applyFill="1" applyBorder="1" applyAlignment="1"/>
    <xf numFmtId="0" fontId="137" fillId="0" borderId="13" xfId="16" applyFont="1" applyBorder="1" applyAlignment="1">
      <alignment horizontal="left" wrapText="1"/>
    </xf>
    <xf numFmtId="0" fontId="130" fillId="0" borderId="15" xfId="16" applyFont="1" applyFill="1" applyBorder="1" applyAlignment="1"/>
    <xf numFmtId="0" fontId="137" fillId="0" borderId="15" xfId="16" applyFont="1" applyBorder="1" applyAlignment="1">
      <alignment horizontal="left" wrapText="1"/>
    </xf>
    <xf numFmtId="0" fontId="142" fillId="0" borderId="0" xfId="3" applyFont="1" applyBorder="1" applyAlignment="1">
      <alignment vertical="top"/>
    </xf>
    <xf numFmtId="0" fontId="142" fillId="0" borderId="0" xfId="3" applyFont="1" applyAlignment="1">
      <alignment vertical="top" wrapText="1"/>
    </xf>
    <xf numFmtId="0" fontId="130" fillId="0" borderId="0" xfId="16" applyFont="1" applyAlignment="1">
      <alignment horizontal="center"/>
    </xf>
    <xf numFmtId="0" fontId="130" fillId="0" borderId="0" xfId="16" applyFont="1" applyAlignment="1">
      <alignment horizontal="left" vertical="top"/>
    </xf>
    <xf numFmtId="0" fontId="134" fillId="0" borderId="0" xfId="0" applyFont="1" applyAlignment="1">
      <alignment horizontal="left" vertical="top" wrapText="1"/>
    </xf>
    <xf numFmtId="0" fontId="131" fillId="0" borderId="0" xfId="0" applyFont="1" applyAlignment="1">
      <alignment horizontal="center" vertical="top"/>
    </xf>
    <xf numFmtId="0" fontId="135" fillId="0" borderId="0" xfId="0" applyFont="1" applyAlignment="1">
      <alignment horizontal="center" vertical="top"/>
    </xf>
    <xf numFmtId="0" fontId="136" fillId="6" borderId="0" xfId="0" applyFont="1" applyFill="1" applyAlignment="1">
      <alignment horizontal="left" vertical="top" wrapText="1"/>
    </xf>
    <xf numFmtId="0" fontId="142" fillId="0" borderId="0" xfId="3" applyFont="1" applyAlignment="1"/>
    <xf numFmtId="0" fontId="130" fillId="0" borderId="0" xfId="16" applyFont="1" applyAlignment="1"/>
    <xf numFmtId="0" fontId="137" fillId="0" borderId="0" xfId="0" quotePrefix="1" applyFont="1" applyAlignment="1">
      <alignment horizontal="left" vertical="top"/>
    </xf>
    <xf numFmtId="0" fontId="131" fillId="0" borderId="0" xfId="16" applyFont="1" applyFill="1" applyBorder="1"/>
    <xf numFmtId="0" fontId="130" fillId="0" borderId="0" xfId="16" applyFont="1" applyFill="1" applyAlignment="1"/>
    <xf numFmtId="0" fontId="137" fillId="0" borderId="0" xfId="16" applyFont="1" applyFill="1" applyAlignment="1">
      <alignment vertical="top"/>
    </xf>
    <xf numFmtId="37" fontId="130" fillId="0" borderId="0" xfId="16" applyNumberFormat="1" applyFont="1" applyFill="1" applyBorder="1"/>
    <xf numFmtId="0" fontId="131" fillId="0" borderId="0" xfId="6" applyFont="1" applyFill="1" applyAlignment="1">
      <alignment horizontal="right"/>
    </xf>
    <xf numFmtId="0" fontId="131" fillId="0" borderId="0" xfId="6" applyFont="1" applyFill="1" applyAlignment="1">
      <alignment horizontal="left"/>
    </xf>
    <xf numFmtId="0" fontId="131" fillId="0" borderId="0" xfId="5" applyFont="1" applyFill="1"/>
    <xf numFmtId="0" fontId="130" fillId="0" borderId="0" xfId="5" applyFont="1" applyFill="1"/>
    <xf numFmtId="0" fontId="134" fillId="0" borderId="0" xfId="5" applyFont="1" applyFill="1"/>
    <xf numFmtId="0" fontId="137" fillId="0" borderId="0" xfId="5" applyFont="1" applyFill="1" applyAlignment="1">
      <alignment vertical="top" wrapText="1"/>
    </xf>
    <xf numFmtId="0" fontId="131" fillId="0" borderId="0" xfId="5" applyFont="1" applyFill="1" applyAlignment="1">
      <alignment horizontal="right"/>
    </xf>
    <xf numFmtId="0" fontId="158" fillId="0" borderId="10" xfId="0" applyFont="1" applyBorder="1"/>
    <xf numFmtId="0" fontId="130" fillId="0" borderId="6" xfId="5" applyFont="1" applyFill="1" applyBorder="1"/>
    <xf numFmtId="0" fontId="131" fillId="0" borderId="6" xfId="5" applyFont="1" applyFill="1" applyBorder="1" applyAlignment="1">
      <alignment horizontal="center" wrapText="1"/>
    </xf>
    <xf numFmtId="0" fontId="131" fillId="0" borderId="11" xfId="5" applyFont="1" applyFill="1" applyBorder="1" applyAlignment="1">
      <alignment horizontal="center" wrapText="1"/>
    </xf>
    <xf numFmtId="0" fontId="150" fillId="0" borderId="12" xfId="0" applyFont="1" applyBorder="1"/>
    <xf numFmtId="0" fontId="150" fillId="0" borderId="0" xfId="0" applyFont="1" applyBorder="1"/>
    <xf numFmtId="0" fontId="150" fillId="0" borderId="13" xfId="0" applyFont="1" applyBorder="1"/>
    <xf numFmtId="0" fontId="150" fillId="0" borderId="1" xfId="0" applyFont="1" applyBorder="1"/>
    <xf numFmtId="1" fontId="131" fillId="0" borderId="6" xfId="0" applyNumberFormat="1" applyFont="1" applyBorder="1"/>
    <xf numFmtId="1" fontId="131" fillId="0" borderId="11" xfId="0" applyNumberFormat="1" applyFont="1" applyBorder="1"/>
    <xf numFmtId="0" fontId="158" fillId="0" borderId="0" xfId="0" applyFont="1"/>
    <xf numFmtId="0" fontId="89" fillId="0" borderId="0" xfId="0" applyFont="1" applyBorder="1" applyAlignment="1">
      <alignment horizontal="right"/>
    </xf>
    <xf numFmtId="0" fontId="89" fillId="0" borderId="13" xfId="0" applyFont="1" applyBorder="1" applyAlignment="1">
      <alignment horizontal="right"/>
    </xf>
    <xf numFmtId="0" fontId="130" fillId="0" borderId="12" xfId="5" applyFont="1" applyFill="1" applyBorder="1" applyAlignment="1">
      <alignment wrapText="1"/>
    </xf>
    <xf numFmtId="0" fontId="130" fillId="0" borderId="0" xfId="5" applyFont="1" applyFill="1" applyBorder="1" applyAlignment="1">
      <alignment wrapText="1"/>
    </xf>
    <xf numFmtId="0" fontId="89" fillId="0" borderId="0" xfId="0" applyFont="1" applyBorder="1"/>
    <xf numFmtId="0" fontId="89" fillId="0" borderId="13" xfId="0" applyFont="1" applyBorder="1"/>
    <xf numFmtId="0" fontId="131" fillId="0" borderId="12" xfId="5" applyFont="1" applyFill="1" applyBorder="1" applyAlignment="1"/>
    <xf numFmtId="0" fontId="131" fillId="0" borderId="0" xfId="5" applyFont="1" applyFill="1" applyBorder="1" applyAlignment="1"/>
    <xf numFmtId="0" fontId="89" fillId="0" borderId="1" xfId="0" applyFont="1" applyBorder="1" applyAlignment="1">
      <alignment horizontal="right"/>
    </xf>
    <xf numFmtId="0" fontId="89" fillId="0" borderId="15" xfId="0" applyFont="1" applyBorder="1" applyAlignment="1">
      <alignment horizontal="right"/>
    </xf>
    <xf numFmtId="0" fontId="150" fillId="0" borderId="10" xfId="0" applyFont="1" applyBorder="1"/>
    <xf numFmtId="0" fontId="150" fillId="0" borderId="6" xfId="0" applyFont="1" applyBorder="1"/>
    <xf numFmtId="0" fontId="137" fillId="0" borderId="11" xfId="5" applyFont="1" applyFill="1" applyBorder="1" applyAlignment="1">
      <alignment wrapText="1"/>
    </xf>
    <xf numFmtId="0" fontId="130" fillId="0" borderId="0" xfId="5" applyFont="1" applyFill="1" applyAlignment="1">
      <alignment wrapText="1"/>
    </xf>
    <xf numFmtId="0" fontId="131" fillId="0" borderId="10" xfId="5" applyFont="1" applyFill="1" applyBorder="1" applyAlignment="1">
      <alignment horizontal="left"/>
    </xf>
    <xf numFmtId="0" fontId="137" fillId="0" borderId="12" xfId="5" applyFont="1" applyFill="1" applyBorder="1" applyAlignment="1">
      <alignment horizontal="left"/>
    </xf>
    <xf numFmtId="0" fontId="137" fillId="0" borderId="0" xfId="5" applyFont="1" applyFill="1" applyBorder="1" applyAlignment="1">
      <alignment horizontal="left"/>
    </xf>
    <xf numFmtId="0" fontId="137" fillId="0" borderId="13" xfId="5" applyFont="1" applyFill="1" applyBorder="1" applyAlignment="1">
      <alignment horizontal="left"/>
    </xf>
    <xf numFmtId="0" fontId="137" fillId="0" borderId="14" xfId="5" applyFont="1" applyFill="1" applyBorder="1" applyAlignment="1">
      <alignment horizontal="left"/>
    </xf>
    <xf numFmtId="0" fontId="137" fillId="0" borderId="1" xfId="5" applyFont="1" applyFill="1" applyBorder="1" applyAlignment="1">
      <alignment horizontal="left"/>
    </xf>
    <xf numFmtId="0" fontId="137" fillId="0" borderId="15" xfId="5" applyFont="1" applyFill="1" applyBorder="1" applyAlignment="1">
      <alignment horizontal="left"/>
    </xf>
    <xf numFmtId="0" fontId="131" fillId="0" borderId="0" xfId="0" applyFont="1" applyBorder="1"/>
    <xf numFmtId="0" fontId="131" fillId="0" borderId="13" xfId="0" applyFont="1" applyBorder="1"/>
    <xf numFmtId="0" fontId="150" fillId="0" borderId="15" xfId="0" applyFont="1" applyBorder="1"/>
    <xf numFmtId="0" fontId="131" fillId="0" borderId="6" xfId="0" applyFont="1" applyBorder="1" applyAlignment="1">
      <alignment horizontal="center"/>
    </xf>
    <xf numFmtId="0" fontId="131" fillId="0" borderId="11" xfId="0" applyFont="1" applyBorder="1" applyAlignment="1">
      <alignment horizontal="center"/>
    </xf>
    <xf numFmtId="0" fontId="137" fillId="0" borderId="12" xfId="0" applyFont="1" applyBorder="1"/>
    <xf numFmtId="0" fontId="150" fillId="0" borderId="0" xfId="0" applyFont="1" applyBorder="1" applyAlignment="1">
      <alignment wrapText="1"/>
    </xf>
    <xf numFmtId="0" fontId="130" fillId="0" borderId="12" xfId="0" applyFont="1" applyBorder="1"/>
    <xf numFmtId="0" fontId="130" fillId="0" borderId="14" xfId="0" applyFont="1" applyBorder="1"/>
    <xf numFmtId="0" fontId="130" fillId="0" borderId="0" xfId="5" applyFont="1" applyFill="1" applyAlignment="1">
      <alignment vertical="top" wrapText="1"/>
    </xf>
    <xf numFmtId="0" fontId="150" fillId="0" borderId="14" xfId="0" applyFont="1" applyBorder="1"/>
    <xf numFmtId="0" fontId="131" fillId="0" borderId="12" xfId="5" applyFont="1" applyFill="1" applyBorder="1" applyAlignment="1">
      <alignment horizontal="left"/>
    </xf>
    <xf numFmtId="0" fontId="131" fillId="0" borderId="0" xfId="5" applyFont="1" applyFill="1" applyBorder="1" applyAlignment="1">
      <alignment horizontal="left"/>
    </xf>
    <xf numFmtId="0" fontId="89" fillId="0" borderId="10" xfId="0" applyFont="1" applyBorder="1"/>
    <xf numFmtId="0" fontId="130" fillId="0" borderId="12" xfId="5" applyFont="1" applyFill="1" applyBorder="1" applyAlignment="1">
      <alignment horizontal="left"/>
    </xf>
    <xf numFmtId="0" fontId="130" fillId="0" borderId="0" xfId="5" applyFont="1" applyFill="1" applyBorder="1" applyAlignment="1">
      <alignment horizontal="left"/>
    </xf>
    <xf numFmtId="0" fontId="130" fillId="0" borderId="12" xfId="5" applyFont="1" applyFill="1" applyBorder="1" applyAlignment="1"/>
    <xf numFmtId="0" fontId="131" fillId="11" borderId="0" xfId="6" applyFont="1" applyFill="1" applyAlignment="1">
      <alignment horizontal="right"/>
    </xf>
    <xf numFmtId="0" fontId="131" fillId="11" borderId="0" xfId="6" applyFont="1" applyFill="1" applyAlignment="1">
      <alignment horizontal="left"/>
    </xf>
    <xf numFmtId="0" fontId="131" fillId="11" borderId="0" xfId="5" applyFont="1" applyFill="1"/>
    <xf numFmtId="0" fontId="130" fillId="11" borderId="0" xfId="5" applyFont="1" applyFill="1"/>
    <xf numFmtId="0" fontId="134" fillId="11" borderId="0" xfId="5" applyFont="1" applyFill="1"/>
    <xf numFmtId="0" fontId="131" fillId="11" borderId="0" xfId="0" applyFont="1" applyFill="1" applyAlignment="1">
      <alignment vertical="top" wrapText="1"/>
    </xf>
    <xf numFmtId="0" fontId="130" fillId="11" borderId="0" xfId="0" quotePrefix="1" applyFont="1" applyFill="1" applyAlignment="1">
      <alignment horizontal="center" vertical="top" wrapText="1"/>
    </xf>
    <xf numFmtId="16" fontId="130" fillId="11" borderId="0" xfId="0" quotePrefix="1" applyNumberFormat="1" applyFont="1" applyFill="1" applyAlignment="1">
      <alignment horizontal="center" vertical="top" wrapText="1"/>
    </xf>
    <xf numFmtId="0" fontId="134" fillId="11" borderId="0" xfId="0" applyFont="1" applyFill="1" applyBorder="1" applyAlignment="1">
      <alignment wrapText="1"/>
    </xf>
    <xf numFmtId="0" fontId="131" fillId="11" borderId="0" xfId="0" applyFont="1" applyFill="1" applyAlignment="1">
      <alignment horizontal="right"/>
    </xf>
    <xf numFmtId="0" fontId="131" fillId="11" borderId="0" xfId="0" applyFont="1" applyFill="1" applyAlignment="1">
      <alignment horizontal="right" vertical="top"/>
    </xf>
    <xf numFmtId="0" fontId="130" fillId="18" borderId="0" xfId="0" applyFont="1" applyFill="1"/>
    <xf numFmtId="0" fontId="131" fillId="18" borderId="0" xfId="0" applyFont="1" applyFill="1" applyAlignment="1">
      <alignment vertical="top"/>
    </xf>
    <xf numFmtId="0" fontId="131" fillId="18" borderId="0" xfId="0" applyFont="1" applyFill="1" applyAlignment="1">
      <alignment vertical="top" wrapText="1"/>
    </xf>
    <xf numFmtId="0" fontId="130" fillId="19" borderId="0" xfId="0" applyFont="1" applyFill="1"/>
    <xf numFmtId="0" fontId="130" fillId="18" borderId="0" xfId="0" applyFont="1" applyFill="1" applyBorder="1" applyAlignment="1">
      <alignment horizontal="left" vertical="top" wrapText="1"/>
    </xf>
    <xf numFmtId="0" fontId="131" fillId="18" borderId="0" xfId="0" applyFont="1" applyFill="1" applyAlignment="1">
      <alignment horizontal="right" vertical="top"/>
    </xf>
    <xf numFmtId="0" fontId="130" fillId="21" borderId="0" xfId="0" applyFont="1" applyFill="1"/>
    <xf numFmtId="0" fontId="131" fillId="11" borderId="0" xfId="6" applyFont="1" applyFill="1" applyAlignment="1">
      <alignment horizontal="center"/>
    </xf>
    <xf numFmtId="170" fontId="131" fillId="11" borderId="0" xfId="6" applyNumberFormat="1" applyFont="1" applyFill="1" applyAlignment="1">
      <alignment horizontal="left"/>
    </xf>
    <xf numFmtId="0" fontId="150" fillId="11" borderId="0" xfId="5" applyFont="1" applyFill="1"/>
    <xf numFmtId="1" fontId="131" fillId="11" borderId="0" xfId="0" applyNumberFormat="1" applyFont="1" applyFill="1" applyBorder="1" applyAlignment="1">
      <alignment horizontal="right"/>
    </xf>
    <xf numFmtId="0" fontId="150" fillId="11" borderId="0" xfId="0" applyFont="1" applyFill="1"/>
    <xf numFmtId="0" fontId="130" fillId="11" borderId="1" xfId="0" applyFont="1" applyFill="1" applyBorder="1"/>
    <xf numFmtId="0" fontId="150" fillId="11" borderId="1" xfId="0" applyFont="1" applyFill="1" applyBorder="1"/>
    <xf numFmtId="0" fontId="150" fillId="11" borderId="13" xfId="0" applyFont="1" applyFill="1" applyBorder="1"/>
    <xf numFmtId="0" fontId="134" fillId="11" borderId="0" xfId="0" applyFont="1" applyFill="1" applyBorder="1"/>
    <xf numFmtId="0" fontId="150" fillId="11" borderId="11" xfId="0" applyFont="1" applyFill="1" applyBorder="1"/>
    <xf numFmtId="0" fontId="130" fillId="11" borderId="14" xfId="0" applyFont="1" applyFill="1" applyBorder="1"/>
    <xf numFmtId="0" fontId="150" fillId="11" borderId="15" xfId="0" applyFont="1" applyFill="1" applyBorder="1"/>
    <xf numFmtId="1" fontId="130" fillId="11" borderId="7" xfId="0" applyNumberFormat="1" applyFont="1" applyFill="1" applyBorder="1" applyAlignment="1">
      <alignment horizontal="center"/>
    </xf>
    <xf numFmtId="1" fontId="130" fillId="11" borderId="1" xfId="0" applyNumberFormat="1" applyFont="1" applyFill="1" applyBorder="1" applyAlignment="1">
      <alignment horizontal="center"/>
    </xf>
    <xf numFmtId="0" fontId="150" fillId="11" borderId="0" xfId="0" applyFont="1" applyFill="1" applyBorder="1"/>
    <xf numFmtId="0" fontId="130" fillId="11" borderId="17" xfId="0" applyFont="1" applyFill="1" applyBorder="1" applyAlignment="1">
      <alignment horizontal="center"/>
    </xf>
    <xf numFmtId="43" fontId="130" fillId="11" borderId="17" xfId="0" applyNumberFormat="1" applyFont="1" applyFill="1" applyBorder="1"/>
    <xf numFmtId="43" fontId="130" fillId="11" borderId="7" xfId="0" applyNumberFormat="1" applyFont="1" applyFill="1" applyBorder="1"/>
    <xf numFmtId="0" fontId="130" fillId="11" borderId="18" xfId="0" applyFont="1" applyFill="1" applyBorder="1"/>
    <xf numFmtId="0" fontId="130" fillId="11" borderId="17" xfId="0" applyFont="1" applyFill="1" applyBorder="1"/>
    <xf numFmtId="0" fontId="150" fillId="11" borderId="2" xfId="0" applyFont="1" applyFill="1" applyBorder="1"/>
    <xf numFmtId="0" fontId="150" fillId="11" borderId="9" xfId="0" applyFont="1" applyFill="1" applyBorder="1"/>
    <xf numFmtId="0" fontId="130" fillId="11" borderId="6" xfId="0" applyFont="1" applyFill="1" applyBorder="1"/>
    <xf numFmtId="0" fontId="131" fillId="3" borderId="0" xfId="0" applyFont="1" applyFill="1" applyAlignment="1">
      <alignment horizontal="center" vertical="top" wrapText="1"/>
    </xf>
    <xf numFmtId="2" fontId="130" fillId="0" borderId="0" xfId="16" applyNumberFormat="1" applyFont="1" applyFill="1" applyAlignment="1">
      <alignment horizontal="center"/>
    </xf>
    <xf numFmtId="0" fontId="131" fillId="11" borderId="0" xfId="16" applyFont="1" applyFill="1" applyAlignment="1">
      <alignment horizontal="right"/>
    </xf>
    <xf numFmtId="0" fontId="130" fillId="3" borderId="0" xfId="0" applyFont="1" applyFill="1" applyAlignment="1">
      <alignment horizontal="center" vertical="top" wrapText="1"/>
    </xf>
    <xf numFmtId="0" fontId="130" fillId="0" borderId="0" xfId="16" applyFont="1" applyFill="1" applyAlignment="1">
      <alignment horizontal="center"/>
    </xf>
    <xf numFmtId="3" fontId="130" fillId="0" borderId="2" xfId="16" quotePrefix="1" applyNumberFormat="1" applyFont="1" applyFill="1" applyBorder="1" applyAlignment="1">
      <alignment horizontal="center"/>
    </xf>
    <xf numFmtId="0" fontId="130" fillId="0" borderId="0" xfId="16" applyFont="1" applyFill="1" applyAlignment="1">
      <alignment vertical="top" wrapText="1"/>
    </xf>
    <xf numFmtId="0" fontId="155" fillId="0" borderId="0" xfId="16" applyFont="1" applyFill="1" applyAlignment="1">
      <alignment horizontal="left" vertical="top" wrapText="1"/>
    </xf>
    <xf numFmtId="3" fontId="130" fillId="0" borderId="1" xfId="16" applyNumberFormat="1" applyFont="1" applyFill="1" applyBorder="1" applyAlignment="1">
      <alignment horizontal="center"/>
    </xf>
    <xf numFmtId="10" fontId="130" fillId="0" borderId="0" xfId="16" applyNumberFormat="1" applyFont="1" applyFill="1" applyAlignment="1">
      <alignment horizontal="center" vertical="center"/>
    </xf>
    <xf numFmtId="0" fontId="130" fillId="0" borderId="0" xfId="16" applyFont="1" applyFill="1" applyAlignment="1">
      <alignment horizontal="right" vertical="center"/>
    </xf>
    <xf numFmtId="0" fontId="131" fillId="0" borderId="0" xfId="16" applyFont="1" applyFill="1" applyAlignment="1">
      <alignment horizontal="right" vertical="center"/>
    </xf>
    <xf numFmtId="9" fontId="130" fillId="10" borderId="0" xfId="16" applyNumberFormat="1" applyFont="1" applyFill="1"/>
    <xf numFmtId="9" fontId="130" fillId="0" borderId="0" xfId="17" applyFont="1" applyFill="1" applyAlignment="1">
      <alignment vertical="center"/>
    </xf>
    <xf numFmtId="0" fontId="130" fillId="10" borderId="0" xfId="16" applyFont="1" applyFill="1" applyAlignment="1">
      <alignment horizontal="center"/>
    </xf>
    <xf numFmtId="0" fontId="155" fillId="0" borderId="0" xfId="2" quotePrefix="1" applyFont="1" applyFill="1" applyAlignment="1" applyProtection="1">
      <alignment horizontal="left" vertical="top" wrapText="1"/>
    </xf>
    <xf numFmtId="3" fontId="130" fillId="0" borderId="1" xfId="2" applyNumberFormat="1" applyFont="1" applyFill="1" applyBorder="1" applyAlignment="1" applyProtection="1">
      <alignment horizontal="center"/>
    </xf>
    <xf numFmtId="0" fontId="130" fillId="0" borderId="0" xfId="2" quotePrefix="1" applyFont="1" applyFill="1" applyAlignment="1" applyProtection="1">
      <alignment horizontal="left" vertical="top" wrapText="1"/>
    </xf>
    <xf numFmtId="3" fontId="130" fillId="0" borderId="0" xfId="2" applyNumberFormat="1" applyFont="1" applyFill="1" applyAlignment="1" applyProtection="1">
      <alignment horizontal="center"/>
    </xf>
    <xf numFmtId="0" fontId="130" fillId="10" borderId="0" xfId="16" applyFont="1" applyFill="1"/>
    <xf numFmtId="0" fontId="155" fillId="0" borderId="0" xfId="16" quotePrefix="1" applyFont="1" applyFill="1" applyAlignment="1">
      <alignment horizontal="left" vertical="top" wrapText="1"/>
    </xf>
    <xf numFmtId="0" fontId="130" fillId="0" borderId="0" xfId="16" applyFont="1" applyFill="1" applyBorder="1" applyAlignment="1">
      <alignment horizontal="center" vertical="top"/>
    </xf>
    <xf numFmtId="3" fontId="130" fillId="0" borderId="0" xfId="16" quotePrefix="1" applyNumberFormat="1" applyFont="1" applyFill="1" applyAlignment="1">
      <alignment horizontal="center"/>
    </xf>
    <xf numFmtId="3" fontId="130" fillId="0" borderId="0" xfId="16" quotePrefix="1" applyNumberFormat="1" applyFont="1" applyAlignment="1">
      <alignment horizontal="center"/>
    </xf>
    <xf numFmtId="0" fontId="130" fillId="0" borderId="0" xfId="2" applyFont="1" applyFill="1" applyAlignment="1" applyProtection="1">
      <alignment horizontal="left" vertical="top" wrapText="1"/>
    </xf>
    <xf numFmtId="9" fontId="130" fillId="10" borderId="0" xfId="17" applyFont="1" applyFill="1"/>
    <xf numFmtId="1" fontId="142" fillId="0" borderId="0" xfId="3" applyNumberFormat="1" applyFont="1" applyAlignment="1">
      <alignment horizontal="left" vertical="center" wrapText="1"/>
    </xf>
    <xf numFmtId="0" fontId="137" fillId="0" borderId="0" xfId="3" applyFont="1" applyAlignment="1">
      <alignment horizontal="left" vertical="top" wrapText="1"/>
    </xf>
    <xf numFmtId="0" fontId="133" fillId="0" borderId="0" xfId="3" applyFont="1" applyAlignment="1">
      <alignment horizontal="right" vertical="top" wrapText="1"/>
    </xf>
    <xf numFmtId="0" fontId="142" fillId="0" borderId="0" xfId="3" applyFont="1" applyAlignment="1">
      <alignment horizontal="left" vertical="top" wrapText="1"/>
    </xf>
    <xf numFmtId="0" fontId="133" fillId="0" borderId="2" xfId="3" applyFont="1" applyBorder="1" applyAlignment="1">
      <alignment horizontal="right" vertical="top" wrapText="1"/>
    </xf>
    <xf numFmtId="0" fontId="130" fillId="0" borderId="1" xfId="0" applyFont="1" applyBorder="1"/>
    <xf numFmtId="0" fontId="131" fillId="0" borderId="0" xfId="0" applyFont="1" applyAlignment="1">
      <alignment horizontal="justify" vertical="top" wrapText="1"/>
    </xf>
    <xf numFmtId="14" fontId="134" fillId="0" borderId="0" xfId="0" applyNumberFormat="1" applyFont="1" applyFill="1"/>
    <xf numFmtId="0" fontId="166" fillId="0" borderId="0" xfId="0" applyFont="1"/>
    <xf numFmtId="0" fontId="5" fillId="0" borderId="1" xfId="0" applyFont="1" applyFill="1" applyBorder="1" applyAlignment="1">
      <alignment horizontal="right"/>
    </xf>
    <xf numFmtId="0" fontId="168" fillId="0" borderId="0" xfId="16" applyFont="1" applyFill="1" applyAlignment="1">
      <alignment horizontal="left" vertical="center" wrapText="1"/>
    </xf>
    <xf numFmtId="0" fontId="168" fillId="0" borderId="0" xfId="16" applyFont="1" applyFill="1" applyAlignment="1">
      <alignment horizontal="left" vertical="center"/>
    </xf>
    <xf numFmtId="0" fontId="131" fillId="0" borderId="0" xfId="16" applyFont="1" applyFill="1" applyAlignment="1">
      <alignment horizontal="center" vertical="center"/>
    </xf>
    <xf numFmtId="0" fontId="130" fillId="0" borderId="26" xfId="16" applyFont="1" applyFill="1" applyBorder="1" applyAlignment="1">
      <alignment horizontal="left" vertical="center" wrapText="1"/>
    </xf>
    <xf numFmtId="0" fontId="131" fillId="0" borderId="0" xfId="16" applyFont="1" applyFill="1" applyBorder="1" applyAlignment="1">
      <alignment horizontal="left" vertical="center" wrapText="1" indent="2"/>
    </xf>
    <xf numFmtId="0" fontId="131" fillId="0" borderId="1" xfId="16" applyFont="1" applyBorder="1" applyAlignment="1">
      <alignment horizontal="center" vertical="center" wrapText="1"/>
    </xf>
    <xf numFmtId="0" fontId="131" fillId="0" borderId="0" xfId="16" applyFont="1" applyBorder="1" applyAlignment="1">
      <alignment vertical="center" wrapText="1"/>
    </xf>
    <xf numFmtId="0" fontId="168" fillId="0" borderId="0" xfId="0" applyFont="1" applyAlignment="1">
      <alignment horizontal="left" vertical="top" wrapText="1"/>
    </xf>
    <xf numFmtId="0" fontId="137" fillId="0" borderId="0" xfId="0" applyFont="1" applyBorder="1" applyAlignment="1">
      <alignment horizontal="center"/>
    </xf>
    <xf numFmtId="0" fontId="137" fillId="0" borderId="13" xfId="0" applyFont="1" applyBorder="1" applyAlignment="1">
      <alignment horizontal="center"/>
    </xf>
    <xf numFmtId="0" fontId="137" fillId="0" borderId="14" xfId="0" applyFont="1" applyBorder="1"/>
    <xf numFmtId="0" fontId="137" fillId="0" borderId="1" xfId="0" applyFont="1" applyBorder="1" applyAlignment="1">
      <alignment horizontal="center"/>
    </xf>
    <xf numFmtId="0" fontId="137" fillId="0" borderId="15" xfId="0" applyFont="1" applyBorder="1" applyAlignment="1">
      <alignment horizontal="center"/>
    </xf>
    <xf numFmtId="0" fontId="5" fillId="3" borderId="0" xfId="0" applyFont="1" applyFill="1" applyAlignment="1">
      <alignment horizontal="center" vertical="top" wrapText="1"/>
    </xf>
    <xf numFmtId="0" fontId="130" fillId="0" borderId="0" xfId="0" applyFont="1" applyAlignment="1">
      <alignment horizontal="left" vertical="top" wrapText="1"/>
    </xf>
    <xf numFmtId="0" fontId="130" fillId="11" borderId="0" xfId="0" applyFont="1" applyFill="1" applyAlignment="1">
      <alignment horizontal="left" vertical="top" wrapText="1"/>
    </xf>
    <xf numFmtId="0" fontId="134" fillId="0" borderId="0" xfId="0" applyFont="1" applyAlignment="1">
      <alignment horizontal="justify" vertical="top"/>
    </xf>
    <xf numFmtId="0" fontId="134" fillId="0" borderId="0" xfId="0" applyFont="1" applyFill="1" applyAlignment="1"/>
    <xf numFmtId="0" fontId="134" fillId="0" borderId="0" xfId="0" applyFont="1" applyAlignment="1"/>
    <xf numFmtId="0" fontId="24" fillId="0" borderId="1" xfId="0" applyFont="1" applyFill="1" applyBorder="1" applyAlignment="1">
      <alignment horizontal="right" vertical="top" wrapText="1"/>
    </xf>
    <xf numFmtId="0" fontId="22" fillId="0" borderId="1" xfId="0" quotePrefix="1" applyFont="1" applyFill="1" applyBorder="1" applyAlignment="1">
      <alignment horizontal="left"/>
    </xf>
    <xf numFmtId="0" fontId="130" fillId="0" borderId="0" xfId="0" applyFont="1" applyFill="1" applyAlignment="1">
      <alignment horizontal="left" vertical="top" wrapText="1"/>
    </xf>
    <xf numFmtId="0" fontId="5" fillId="3" borderId="0" xfId="0" applyFont="1" applyFill="1" applyAlignment="1">
      <alignment horizontal="center" vertical="top" wrapText="1"/>
    </xf>
    <xf numFmtId="0" fontId="130" fillId="0" borderId="0" xfId="0" applyFont="1" applyFill="1" applyAlignment="1">
      <alignment horizontal="justify" vertical="top" wrapText="1"/>
    </xf>
    <xf numFmtId="0" fontId="31" fillId="0" borderId="0" xfId="0" applyFont="1" applyFill="1" applyAlignment="1">
      <alignment horizontal="left"/>
    </xf>
    <xf numFmtId="0" fontId="169" fillId="0" borderId="0" xfId="0" applyFont="1" applyFill="1" applyAlignment="1">
      <alignment horizontal="left"/>
    </xf>
    <xf numFmtId="0" fontId="31" fillId="0" borderId="0" xfId="0" applyFont="1" applyAlignment="1">
      <alignment wrapText="1"/>
    </xf>
    <xf numFmtId="0" fontId="169" fillId="0" borderId="0" xfId="0" applyFont="1" applyFill="1" applyAlignment="1"/>
    <xf numFmtId="1" fontId="31" fillId="0" borderId="0" xfId="0" applyNumberFormat="1" applyFont="1" applyAlignment="1">
      <alignment horizontal="left"/>
    </xf>
    <xf numFmtId="0" fontId="31" fillId="0" borderId="0" xfId="0" applyFont="1" applyAlignment="1">
      <alignment horizontal="center" vertical="center" wrapText="1"/>
    </xf>
    <xf numFmtId="0" fontId="31" fillId="0" borderId="0" xfId="0" applyFont="1" applyAlignment="1">
      <alignment horizontal="center" vertical="center"/>
    </xf>
    <xf numFmtId="0" fontId="32" fillId="0" borderId="0" xfId="0" applyFont="1" applyFill="1" applyAlignment="1"/>
    <xf numFmtId="0" fontId="7" fillId="0" borderId="0" xfId="0" applyFont="1" applyAlignment="1">
      <alignment horizontal="left"/>
    </xf>
    <xf numFmtId="0" fontId="7" fillId="0" borderId="0" xfId="0" applyFont="1" applyAlignment="1">
      <alignment horizontal="center" wrapText="1"/>
    </xf>
    <xf numFmtId="0" fontId="7" fillId="0" borderId="0" xfId="0" applyFont="1" applyFill="1" applyAlignment="1">
      <alignment horizontal="center" wrapText="1"/>
    </xf>
    <xf numFmtId="0" fontId="31" fillId="8" borderId="0" xfId="0" applyFont="1" applyFill="1" applyAlignment="1">
      <alignment horizontal="center" wrapText="1"/>
    </xf>
    <xf numFmtId="0" fontId="31" fillId="0" borderId="0" xfId="0" applyFont="1" applyFill="1" applyAlignment="1">
      <alignment horizontal="center" wrapText="1"/>
    </xf>
    <xf numFmtId="0" fontId="31" fillId="0" borderId="0" xfId="0" applyFont="1" applyAlignment="1">
      <alignment horizontal="left"/>
    </xf>
    <xf numFmtId="0" fontId="31" fillId="0" borderId="0" xfId="0" applyFont="1" applyAlignment="1">
      <alignment horizontal="center" wrapText="1"/>
    </xf>
    <xf numFmtId="0" fontId="169" fillId="0" borderId="0" xfId="0" applyFont="1" applyAlignment="1">
      <alignment horizontal="left"/>
    </xf>
    <xf numFmtId="37" fontId="7" fillId="0" borderId="0" xfId="1" applyNumberFormat="1" applyFont="1" applyBorder="1" applyAlignment="1">
      <alignment horizontal="center"/>
    </xf>
    <xf numFmtId="37" fontId="7" fillId="0" borderId="0" xfId="1" applyNumberFormat="1" applyFont="1" applyFill="1" applyBorder="1" applyAlignment="1">
      <alignment horizontal="center"/>
    </xf>
    <xf numFmtId="0" fontId="7" fillId="0" borderId="0" xfId="0" applyFont="1" applyAlignment="1">
      <alignment horizontal="left" wrapText="1"/>
    </xf>
    <xf numFmtId="164" fontId="7" fillId="0" borderId="0" xfId="1" applyNumberFormat="1" applyFont="1" applyBorder="1" applyAlignment="1">
      <alignment horizontal="right"/>
    </xf>
    <xf numFmtId="0" fontId="7" fillId="0" borderId="2" xfId="0" applyFont="1" applyBorder="1" applyAlignment="1">
      <alignment horizontal="left" wrapText="1"/>
    </xf>
    <xf numFmtId="164" fontId="7" fillId="0" borderId="2" xfId="1" applyNumberFormat="1" applyFont="1" applyBorder="1" applyAlignment="1">
      <alignment horizontal="right"/>
    </xf>
    <xf numFmtId="0" fontId="7" fillId="0" borderId="0" xfId="0" applyFont="1" applyBorder="1" applyAlignment="1">
      <alignment horizontal="left" wrapText="1"/>
    </xf>
    <xf numFmtId="0" fontId="169" fillId="0" borderId="0" xfId="0" applyFont="1" applyAlignment="1">
      <alignment horizontal="left" wrapText="1"/>
    </xf>
    <xf numFmtId="0" fontId="7" fillId="0" borderId="0" xfId="0" applyFont="1" applyFill="1" applyBorder="1" applyAlignment="1">
      <alignment horizontal="left" wrapText="1"/>
    </xf>
    <xf numFmtId="164" fontId="31" fillId="0" borderId="0" xfId="1" applyNumberFormat="1" applyFont="1" applyBorder="1" applyAlignment="1">
      <alignment horizontal="right"/>
    </xf>
    <xf numFmtId="164" fontId="7" fillId="0" borderId="0" xfId="1" applyNumberFormat="1" applyFont="1" applyAlignment="1">
      <alignment horizontal="right"/>
    </xf>
    <xf numFmtId="164" fontId="7" fillId="0" borderId="0" xfId="1" applyNumberFormat="1" applyFont="1" applyFill="1" applyAlignment="1">
      <alignment horizontal="right"/>
    </xf>
    <xf numFmtId="164" fontId="7" fillId="0" borderId="0" xfId="0" applyNumberFormat="1" applyFont="1" applyAlignment="1">
      <alignment horizontal="center"/>
    </xf>
    <xf numFmtId="164" fontId="7" fillId="0" borderId="0" xfId="0" applyNumberFormat="1" applyFont="1" applyAlignment="1">
      <alignment horizontal="right"/>
    </xf>
    <xf numFmtId="0" fontId="7" fillId="0" borderId="2" xfId="0" applyFont="1" applyBorder="1" applyAlignment="1">
      <alignment horizontal="left"/>
    </xf>
    <xf numFmtId="0" fontId="31" fillId="0" borderId="0" xfId="0" applyFont="1" applyFill="1" applyAlignment="1">
      <alignment horizontal="left" wrapText="1"/>
    </xf>
    <xf numFmtId="164" fontId="31" fillId="0" borderId="2" xfId="0" applyNumberFormat="1" applyFont="1" applyBorder="1" applyAlignment="1">
      <alignment horizontal="right" vertical="center"/>
    </xf>
    <xf numFmtId="164" fontId="31" fillId="0" borderId="0" xfId="0" applyNumberFormat="1" applyFont="1" applyBorder="1" applyAlignment="1">
      <alignment horizontal="right" vertical="center"/>
    </xf>
    <xf numFmtId="0" fontId="32" fillId="0" borderId="0" xfId="0" applyFont="1" applyFill="1" applyAlignment="1">
      <alignment horizontal="left"/>
    </xf>
    <xf numFmtId="1" fontId="31" fillId="0" borderId="0" xfId="0" applyNumberFormat="1" applyFont="1" applyFill="1" applyAlignment="1">
      <alignment horizontal="left"/>
    </xf>
    <xf numFmtId="0" fontId="31" fillId="0" borderId="0" xfId="0" applyFont="1" applyAlignment="1">
      <alignment horizontal="center"/>
    </xf>
    <xf numFmtId="0" fontId="32" fillId="0" borderId="0" xfId="0" applyFont="1" applyAlignment="1">
      <alignment horizontal="left"/>
    </xf>
    <xf numFmtId="37" fontId="7" fillId="0" borderId="0" xfId="1" applyNumberFormat="1" applyFont="1" applyBorder="1" applyAlignment="1">
      <alignment horizontal="right"/>
    </xf>
    <xf numFmtId="37" fontId="7" fillId="0" borderId="0" xfId="1" applyNumberFormat="1" applyFont="1" applyFill="1" applyBorder="1" applyAlignment="1">
      <alignment horizontal="right"/>
    </xf>
    <xf numFmtId="37" fontId="7" fillId="0" borderId="2" xfId="1" applyNumberFormat="1" applyFont="1" applyBorder="1" applyAlignment="1">
      <alignment horizontal="right"/>
    </xf>
    <xf numFmtId="37" fontId="7" fillId="0" borderId="2" xfId="1" applyNumberFormat="1" applyFont="1" applyFill="1" applyBorder="1" applyAlignment="1">
      <alignment horizontal="right"/>
    </xf>
    <xf numFmtId="37" fontId="31" fillId="0" borderId="0" xfId="1" applyNumberFormat="1" applyFont="1" applyBorder="1" applyAlignment="1">
      <alignment horizontal="right"/>
    </xf>
    <xf numFmtId="37" fontId="31" fillId="0" borderId="0" xfId="1" applyNumberFormat="1" applyFont="1" applyFill="1" applyBorder="1" applyAlignment="1">
      <alignment horizontal="right"/>
    </xf>
    <xf numFmtId="0" fontId="7" fillId="0" borderId="2" xfId="0" applyFont="1" applyFill="1" applyBorder="1" applyAlignment="1">
      <alignment horizontal="left" wrapText="1"/>
    </xf>
    <xf numFmtId="164" fontId="31" fillId="0" borderId="2" xfId="0" applyNumberFormat="1" applyFont="1" applyFill="1" applyBorder="1" applyAlignment="1">
      <alignment horizontal="right" vertical="center"/>
    </xf>
    <xf numFmtId="164" fontId="31" fillId="0" borderId="0" xfId="0" applyNumberFormat="1" applyFont="1" applyFill="1" applyBorder="1" applyAlignment="1">
      <alignment horizontal="right" vertical="center"/>
    </xf>
    <xf numFmtId="0" fontId="137" fillId="0" borderId="0" xfId="0" applyFont="1" applyBorder="1" applyAlignment="1">
      <alignment horizontal="center" vertical="top"/>
    </xf>
    <xf numFmtId="0" fontId="137" fillId="0" borderId="0" xfId="0" applyFont="1" applyBorder="1" applyAlignment="1">
      <alignment vertical="top"/>
    </xf>
    <xf numFmtId="0" fontId="167" fillId="0" borderId="0" xfId="2" applyFont="1" applyBorder="1" applyAlignment="1" applyProtection="1">
      <alignment vertical="top"/>
    </xf>
    <xf numFmtId="0" fontId="130" fillId="11" borderId="0" xfId="0" applyFont="1" applyFill="1" applyAlignment="1">
      <alignment vertical="top"/>
    </xf>
    <xf numFmtId="0" fontId="121" fillId="0" borderId="0" xfId="2" applyFont="1" applyAlignment="1" applyProtection="1">
      <alignment vertical="center" wrapText="1"/>
    </xf>
    <xf numFmtId="0" fontId="121" fillId="0" borderId="0" xfId="2" applyFont="1" applyAlignment="1" applyProtection="1">
      <alignment horizontal="left" vertical="center" wrapText="1"/>
    </xf>
    <xf numFmtId="0" fontId="131" fillId="0" borderId="0" xfId="0" applyFont="1" applyFill="1" applyAlignment="1">
      <alignment horizontal="left"/>
    </xf>
    <xf numFmtId="0" fontId="131" fillId="7" borderId="0" xfId="0" applyFont="1" applyFill="1" applyAlignment="1">
      <alignment horizontal="left"/>
    </xf>
    <xf numFmtId="0" fontId="134" fillId="7" borderId="0" xfId="0" applyFont="1" applyFill="1" applyAlignment="1">
      <alignment horizontal="left"/>
    </xf>
    <xf numFmtId="0" fontId="131" fillId="0" borderId="0" xfId="0" quotePrefix="1" applyFont="1" applyFill="1" applyAlignment="1">
      <alignment horizontal="left" vertical="top"/>
    </xf>
    <xf numFmtId="0" fontId="130" fillId="22" borderId="0" xfId="0" applyFont="1" applyFill="1" applyBorder="1" applyAlignment="1">
      <alignment horizontal="left" vertical="top" wrapText="1"/>
    </xf>
    <xf numFmtId="0" fontId="134" fillId="22" borderId="28" xfId="0" applyFont="1" applyFill="1" applyBorder="1" applyAlignment="1">
      <alignment horizontal="left" vertical="top"/>
    </xf>
    <xf numFmtId="0" fontId="130" fillId="22" borderId="28" xfId="0" applyFont="1" applyFill="1" applyBorder="1" applyAlignment="1">
      <alignment horizontal="left" vertical="top"/>
    </xf>
    <xf numFmtId="0" fontId="130" fillId="22" borderId="0" xfId="0" applyFont="1" applyFill="1" applyBorder="1" applyAlignment="1">
      <alignment vertical="top" wrapText="1"/>
    </xf>
    <xf numFmtId="0" fontId="130" fillId="22" borderId="24" xfId="0" applyFont="1" applyFill="1" applyBorder="1" applyAlignment="1">
      <alignment vertical="top" wrapText="1"/>
    </xf>
    <xf numFmtId="0" fontId="130" fillId="22" borderId="26" xfId="0" applyFont="1" applyFill="1" applyBorder="1" applyAlignment="1">
      <alignment vertical="top" wrapText="1"/>
    </xf>
    <xf numFmtId="0" fontId="130" fillId="22" borderId="27" xfId="0" applyFont="1" applyFill="1" applyBorder="1" applyAlignment="1">
      <alignment vertical="top" wrapText="1"/>
    </xf>
    <xf numFmtId="0" fontId="31" fillId="7" borderId="0" xfId="0" applyFont="1" applyFill="1" applyAlignment="1">
      <alignment horizontal="center" vertical="center" wrapText="1"/>
    </xf>
    <xf numFmtId="164" fontId="31" fillId="7" borderId="0" xfId="0" applyNumberFormat="1" applyFont="1" applyFill="1" applyBorder="1" applyAlignment="1">
      <alignment horizontal="right" vertical="center"/>
    </xf>
    <xf numFmtId="0" fontId="7" fillId="7" borderId="0" xfId="0" applyFont="1" applyFill="1" applyBorder="1" applyAlignment="1">
      <alignment horizontal="left"/>
    </xf>
    <xf numFmtId="0" fontId="131" fillId="0" borderId="0" xfId="0" applyFont="1" applyFill="1" applyAlignment="1">
      <alignment horizontal="center" vertical="top" wrapText="1"/>
    </xf>
    <xf numFmtId="0" fontId="5" fillId="3" borderId="0" xfId="0" applyFont="1" applyFill="1" applyAlignment="1">
      <alignment horizontal="center" vertical="top" wrapText="1"/>
    </xf>
    <xf numFmtId="0" fontId="130" fillId="0" borderId="0" xfId="0" applyFont="1" applyFill="1" applyAlignment="1">
      <alignment vertical="top" wrapText="1"/>
    </xf>
    <xf numFmtId="0" fontId="131" fillId="7" borderId="0" xfId="0" applyFont="1" applyFill="1" applyAlignment="1">
      <alignment horizontal="left" vertical="top"/>
    </xf>
    <xf numFmtId="0" fontId="131" fillId="7" borderId="0" xfId="0" applyFont="1" applyFill="1" applyAlignment="1">
      <alignment vertical="top"/>
    </xf>
    <xf numFmtId="0" fontId="131" fillId="7" borderId="0" xfId="0" applyFont="1" applyFill="1" applyAlignment="1">
      <alignment horizontal="right" wrapText="1"/>
    </xf>
    <xf numFmtId="0" fontId="149" fillId="0" borderId="44" xfId="0" applyFont="1" applyFill="1" applyBorder="1" applyAlignment="1">
      <alignment horizontal="left" vertical="top"/>
    </xf>
    <xf numFmtId="0" fontId="138" fillId="0" borderId="45" xfId="0" applyFont="1" applyFill="1" applyBorder="1" applyAlignment="1">
      <alignment horizontal="left" vertical="top" wrapText="1"/>
    </xf>
    <xf numFmtId="0" fontId="132" fillId="0" borderId="45" xfId="0" applyFont="1" applyFill="1" applyBorder="1" applyAlignment="1">
      <alignment horizontal="left" vertical="top" wrapText="1"/>
    </xf>
    <xf numFmtId="0" fontId="132" fillId="0" borderId="46" xfId="0" applyFont="1" applyFill="1" applyBorder="1" applyAlignment="1">
      <alignment horizontal="left" vertical="top" wrapText="1"/>
    </xf>
    <xf numFmtId="0" fontId="147" fillId="7" borderId="0" xfId="0" applyFont="1" applyFill="1" applyBorder="1" applyAlignment="1">
      <alignment horizontal="right" vertical="center" wrapText="1"/>
    </xf>
    <xf numFmtId="0" fontId="71" fillId="0" borderId="0" xfId="0" applyFont="1" applyFill="1"/>
    <xf numFmtId="0" fontId="71" fillId="0" borderId="0" xfId="0" applyFont="1" applyFill="1" applyBorder="1" applyAlignment="1">
      <alignment vertical="top"/>
    </xf>
    <xf numFmtId="0" fontId="130" fillId="7" borderId="0" xfId="0" applyFont="1" applyFill="1" applyAlignment="1">
      <alignment horizontal="center" vertical="top" wrapText="1"/>
    </xf>
    <xf numFmtId="0" fontId="48" fillId="0" borderId="0" xfId="0" applyFont="1" applyAlignment="1">
      <alignment vertical="top" wrapText="1"/>
    </xf>
    <xf numFmtId="0" fontId="129" fillId="7" borderId="0" xfId="0" applyFont="1" applyFill="1" applyBorder="1" applyAlignment="1">
      <alignment horizontal="right" vertical="center" wrapText="1"/>
    </xf>
    <xf numFmtId="0" fontId="131" fillId="7" borderId="0" xfId="0" applyFont="1" applyFill="1" applyAlignment="1"/>
    <xf numFmtId="0" fontId="130" fillId="7" borderId="0" xfId="0" applyFont="1" applyFill="1" applyBorder="1" applyAlignment="1"/>
    <xf numFmtId="0" fontId="130" fillId="7" borderId="0" xfId="0" applyFont="1" applyFill="1" applyAlignment="1"/>
    <xf numFmtId="164" fontId="130" fillId="7" borderId="0" xfId="0" applyNumberFormat="1" applyFont="1" applyFill="1" applyBorder="1" applyAlignment="1"/>
    <xf numFmtId="0" fontId="131" fillId="7" borderId="0" xfId="0" applyFont="1" applyFill="1"/>
    <xf numFmtId="0" fontId="170" fillId="7" borderId="2" xfId="0" applyFont="1" applyFill="1" applyBorder="1" applyAlignment="1">
      <alignment horizontal="right" wrapText="1"/>
    </xf>
    <xf numFmtId="0" fontId="129" fillId="7" borderId="0" xfId="0" applyFont="1" applyFill="1" applyBorder="1" applyAlignment="1"/>
    <xf numFmtId="0" fontId="131" fillId="7" borderId="0" xfId="0" applyFont="1" applyFill="1" applyBorder="1" applyAlignment="1">
      <alignment horizontal="right" vertical="center" wrapText="1"/>
    </xf>
    <xf numFmtId="0" fontId="131" fillId="7" borderId="0" xfId="0" applyFont="1" applyFill="1" applyBorder="1" applyAlignment="1"/>
    <xf numFmtId="164" fontId="131" fillId="7" borderId="2" xfId="0" applyNumberFormat="1" applyFont="1" applyFill="1" applyBorder="1" applyAlignment="1"/>
    <xf numFmtId="164" fontId="131" fillId="7" borderId="2" xfId="0" applyNumberFormat="1" applyFont="1" applyFill="1" applyBorder="1" applyAlignment="1">
      <alignment horizontal="right"/>
    </xf>
    <xf numFmtId="164" fontId="130" fillId="7" borderId="0" xfId="0" applyNumberFormat="1" applyFont="1" applyFill="1" applyBorder="1" applyAlignment="1">
      <alignment horizontal="right"/>
    </xf>
    <xf numFmtId="164" fontId="131" fillId="7" borderId="0" xfId="0" applyNumberFormat="1" applyFont="1" applyFill="1" applyBorder="1" applyAlignment="1">
      <alignment horizontal="right"/>
    </xf>
    <xf numFmtId="0" fontId="131" fillId="0" borderId="15" xfId="16" applyFont="1" applyFill="1" applyBorder="1" applyAlignment="1"/>
    <xf numFmtId="164" fontId="137" fillId="0" borderId="64" xfId="1" applyNumberFormat="1" applyFont="1" applyFill="1" applyBorder="1" applyAlignment="1">
      <alignment horizontal="right"/>
    </xf>
    <xf numFmtId="164" fontId="137" fillId="0" borderId="12" xfId="1" applyNumberFormat="1" applyFont="1" applyFill="1" applyBorder="1" applyAlignment="1">
      <alignment horizontal="right"/>
    </xf>
    <xf numFmtId="164" fontId="137" fillId="0" borderId="14" xfId="1" applyNumberFormat="1" applyFont="1" applyFill="1" applyBorder="1" applyAlignment="1">
      <alignment horizontal="right"/>
    </xf>
    <xf numFmtId="164" fontId="131" fillId="0" borderId="10" xfId="1" applyNumberFormat="1" applyFont="1" applyFill="1" applyBorder="1" applyAlignment="1">
      <alignment horizontal="right"/>
    </xf>
    <xf numFmtId="164" fontId="137" fillId="0" borderId="10" xfId="1" applyNumberFormat="1" applyFont="1" applyFill="1" applyBorder="1" applyAlignment="1">
      <alignment horizontal="right"/>
    </xf>
    <xf numFmtId="0" fontId="131" fillId="0" borderId="12" xfId="16" quotePrefix="1" applyFont="1" applyFill="1" applyBorder="1" applyAlignment="1">
      <alignment horizontal="center"/>
    </xf>
    <xf numFmtId="0" fontId="130" fillId="0" borderId="36" xfId="16" applyFont="1" applyFill="1" applyBorder="1" applyAlignment="1">
      <alignment horizontal="center" vertical="center" wrapText="1"/>
    </xf>
    <xf numFmtId="0" fontId="131" fillId="0" borderId="65" xfId="16" applyFont="1" applyBorder="1" applyAlignment="1">
      <alignment horizontal="center" wrapText="1"/>
    </xf>
    <xf numFmtId="164" fontId="131" fillId="0" borderId="10" xfId="1" applyNumberFormat="1" applyFont="1" applyFill="1" applyBorder="1" applyAlignment="1">
      <alignment horizontal="left"/>
    </xf>
    <xf numFmtId="164" fontId="131" fillId="0" borderId="13" xfId="1" applyNumberFormat="1" applyFont="1" applyFill="1" applyBorder="1" applyAlignment="1">
      <alignment horizontal="right"/>
    </xf>
    <xf numFmtId="0" fontId="131" fillId="0" borderId="1" xfId="16" applyFont="1" applyFill="1" applyBorder="1" applyAlignment="1">
      <alignment wrapText="1"/>
    </xf>
    <xf numFmtId="0" fontId="131" fillId="0" borderId="15" xfId="16" applyFont="1" applyFill="1" applyBorder="1" applyAlignment="1">
      <alignment wrapText="1"/>
    </xf>
    <xf numFmtId="0" fontId="130" fillId="0" borderId="14" xfId="16" applyFont="1" applyFill="1" applyBorder="1" applyAlignment="1">
      <alignment vertical="center" wrapText="1"/>
    </xf>
    <xf numFmtId="0" fontId="5" fillId="0" borderId="0" xfId="0" applyFont="1" applyFill="1" applyBorder="1" applyAlignment="1">
      <alignment horizontal="left" vertical="center"/>
    </xf>
    <xf numFmtId="0" fontId="7" fillId="0" borderId="0" xfId="0" applyFont="1" applyFill="1" applyAlignment="1">
      <alignment horizontal="left" vertical="top" wrapText="1"/>
    </xf>
    <xf numFmtId="0" fontId="130" fillId="0" borderId="0" xfId="16" applyFont="1" applyFill="1" applyAlignment="1">
      <alignment horizontal="left" vertical="top" wrapText="1"/>
    </xf>
    <xf numFmtId="0" fontId="72" fillId="0" borderId="0" xfId="0" applyFont="1" applyFill="1" applyAlignment="1">
      <alignment horizontal="left" vertical="top" wrapText="1"/>
    </xf>
    <xf numFmtId="0" fontId="96" fillId="0" borderId="0" xfId="0" applyFont="1" applyFill="1" applyAlignment="1">
      <alignment horizontal="center" vertical="top" wrapText="1"/>
    </xf>
    <xf numFmtId="0" fontId="131" fillId="7" borderId="10" xfId="16" applyFont="1" applyFill="1" applyBorder="1" applyAlignment="1">
      <alignment horizontal="center" vertical="center" wrapText="1"/>
    </xf>
    <xf numFmtId="0" fontId="131" fillId="7" borderId="0" xfId="16" applyFont="1" applyFill="1" applyBorder="1" applyAlignment="1">
      <alignment horizontal="center" vertical="center" wrapText="1"/>
    </xf>
    <xf numFmtId="0" fontId="131" fillId="7" borderId="36" xfId="16" applyFont="1" applyFill="1" applyBorder="1" applyAlignment="1">
      <alignment horizontal="center" wrapText="1"/>
    </xf>
    <xf numFmtId="0" fontId="131" fillId="7" borderId="26" xfId="16" applyFont="1" applyFill="1" applyBorder="1" applyAlignment="1">
      <alignment horizontal="center" wrapText="1"/>
    </xf>
    <xf numFmtId="0" fontId="83" fillId="0" borderId="0" xfId="0" applyFont="1" applyFill="1" applyBorder="1" applyAlignment="1">
      <alignment horizontal="center" vertical="top" wrapText="1"/>
    </xf>
    <xf numFmtId="0" fontId="132" fillId="0" borderId="0" xfId="16" applyFont="1" applyFill="1" applyAlignment="1">
      <alignment horizontal="left" vertical="top" wrapText="1"/>
    </xf>
    <xf numFmtId="0" fontId="132" fillId="0" borderId="0" xfId="16" applyFont="1" applyFill="1" applyAlignment="1">
      <alignment horizontal="left" vertical="top"/>
    </xf>
    <xf numFmtId="0" fontId="172" fillId="7" borderId="0" xfId="0" applyFont="1" applyFill="1" applyAlignment="1">
      <alignment vertical="top"/>
    </xf>
    <xf numFmtId="0" fontId="1" fillId="7" borderId="0" xfId="0" applyFont="1" applyFill="1" applyAlignment="1">
      <alignment vertical="top" wrapText="1"/>
    </xf>
    <xf numFmtId="0" fontId="1" fillId="7" borderId="0" xfId="0" applyFont="1" applyFill="1"/>
    <xf numFmtId="0" fontId="130" fillId="12" borderId="28" xfId="0" applyFont="1" applyFill="1" applyBorder="1" applyAlignment="1">
      <alignment horizontal="left" vertical="top" wrapText="1"/>
    </xf>
    <xf numFmtId="0" fontId="130" fillId="12" borderId="0" xfId="0" applyFont="1" applyFill="1" applyBorder="1" applyAlignment="1">
      <alignment horizontal="left" vertical="top" wrapText="1"/>
    </xf>
    <xf numFmtId="0" fontId="130" fillId="12" borderId="24" xfId="0" applyFont="1" applyFill="1" applyBorder="1" applyAlignment="1">
      <alignment horizontal="left" vertical="top" wrapText="1"/>
    </xf>
    <xf numFmtId="0" fontId="5" fillId="3" borderId="0" xfId="0" applyFont="1" applyFill="1" applyAlignment="1">
      <alignment horizontal="center" vertical="top" wrapText="1"/>
    </xf>
    <xf numFmtId="0" fontId="1" fillId="23" borderId="0" xfId="0" applyFont="1" applyFill="1"/>
    <xf numFmtId="0" fontId="111" fillId="23" borderId="0" xfId="0" applyFont="1" applyFill="1" applyAlignment="1">
      <alignment vertical="center"/>
    </xf>
    <xf numFmtId="0" fontId="174" fillId="0" borderId="0" xfId="0" applyFont="1" applyFill="1" applyAlignment="1">
      <alignment vertical="center"/>
    </xf>
    <xf numFmtId="0" fontId="7" fillId="0" borderId="0" xfId="0" applyFont="1" applyFill="1" applyAlignment="1">
      <alignment horizontal="left" vertical="top" wrapText="1"/>
    </xf>
    <xf numFmtId="0" fontId="83" fillId="0" borderId="0" xfId="0" applyFont="1" applyFill="1" applyBorder="1" applyAlignment="1">
      <alignment horizontal="center"/>
    </xf>
    <xf numFmtId="0" fontId="83" fillId="0" borderId="0" xfId="0" applyFont="1" applyFill="1" applyBorder="1" applyAlignment="1">
      <alignment horizontal="left"/>
    </xf>
    <xf numFmtId="0" fontId="172" fillId="0" borderId="0" xfId="0" applyFont="1"/>
    <xf numFmtId="0" fontId="170" fillId="7" borderId="0" xfId="0" applyFont="1" applyFill="1"/>
    <xf numFmtId="164" fontId="131" fillId="7" borderId="0" xfId="1" applyNumberFormat="1" applyFont="1" applyFill="1" applyBorder="1" applyAlignment="1">
      <alignment horizontal="right"/>
    </xf>
    <xf numFmtId="0" fontId="48" fillId="7" borderId="0" xfId="0" applyFont="1" applyFill="1"/>
    <xf numFmtId="164" fontId="130" fillId="7" borderId="0" xfId="0" applyNumberFormat="1" applyFont="1" applyFill="1" applyAlignment="1">
      <alignment horizontal="right"/>
    </xf>
    <xf numFmtId="164" fontId="131" fillId="7" borderId="2" xfId="1" applyNumberFormat="1" applyFont="1" applyFill="1" applyBorder="1" applyAlignment="1">
      <alignment horizontal="right"/>
    </xf>
    <xf numFmtId="0" fontId="154" fillId="0" borderId="0" xfId="0" applyFont="1" applyFill="1" applyAlignment="1">
      <alignment horizontal="right" vertical="top" wrapText="1"/>
    </xf>
    <xf numFmtId="0" fontId="31" fillId="7" borderId="0" xfId="0" applyFont="1" applyFill="1" applyAlignment="1">
      <alignment wrapText="1"/>
    </xf>
    <xf numFmtId="0" fontId="7" fillId="7" borderId="0" xfId="0" applyFont="1" applyFill="1" applyAlignment="1">
      <alignment wrapText="1"/>
    </xf>
    <xf numFmtId="0" fontId="7" fillId="0" borderId="0" xfId="0" applyFont="1" applyFill="1" applyAlignment="1">
      <alignment horizontal="left" vertical="top" wrapText="1"/>
    </xf>
    <xf numFmtId="0" fontId="131" fillId="0" borderId="0" xfId="0" applyFont="1" applyFill="1" applyAlignment="1">
      <alignment horizontal="center" vertical="top" wrapText="1"/>
    </xf>
    <xf numFmtId="0" fontId="131" fillId="0" borderId="0" xfId="0" applyFont="1" applyFill="1" applyAlignment="1">
      <alignment horizontal="right" vertical="top" wrapText="1"/>
    </xf>
    <xf numFmtId="0" fontId="130" fillId="6" borderId="0" xfId="16" applyFont="1" applyFill="1" applyAlignment="1">
      <alignment horizontal="left" vertical="top" wrapText="1"/>
    </xf>
    <xf numFmtId="0" fontId="136" fillId="0" borderId="0" xfId="16" applyFont="1" applyFill="1" applyBorder="1" applyAlignment="1">
      <alignment horizontal="left" vertical="top" wrapText="1"/>
    </xf>
    <xf numFmtId="0" fontId="72" fillId="0" borderId="0" xfId="0" applyFont="1" applyFill="1" applyAlignment="1">
      <alignment vertical="center"/>
    </xf>
    <xf numFmtId="0" fontId="73" fillId="0" borderId="0" xfId="0" applyFont="1" applyFill="1" applyAlignment="1">
      <alignment horizontal="left" vertical="center"/>
    </xf>
    <xf numFmtId="0" fontId="177" fillId="0" borderId="0" xfId="2" applyFont="1" applyAlignment="1" applyProtection="1"/>
    <xf numFmtId="0" fontId="73" fillId="0" borderId="0" xfId="16" applyFont="1" applyFill="1" applyAlignment="1">
      <alignment horizontal="center"/>
    </xf>
    <xf numFmtId="0" fontId="75" fillId="0" borderId="0" xfId="0" applyFont="1"/>
    <xf numFmtId="0" fontId="98" fillId="0" borderId="0" xfId="16" applyFont="1" applyFill="1"/>
    <xf numFmtId="0" fontId="75" fillId="0" borderId="0" xfId="0" applyFont="1" applyAlignment="1">
      <alignment vertical="top"/>
    </xf>
    <xf numFmtId="0" fontId="77" fillId="0" borderId="0" xfId="16" applyFont="1" applyFill="1" applyAlignment="1">
      <alignment horizontal="left" vertical="top" wrapText="1"/>
    </xf>
    <xf numFmtId="0" fontId="73" fillId="3" borderId="0" xfId="0" applyFont="1" applyFill="1" applyAlignment="1">
      <alignment horizontal="left" vertical="top"/>
    </xf>
    <xf numFmtId="0" fontId="81" fillId="0" borderId="0" xfId="16" applyFont="1" applyFill="1"/>
    <xf numFmtId="0" fontId="1" fillId="0" borderId="0" xfId="0" applyFont="1" applyFill="1" applyAlignment="1">
      <alignment horizontal="left" vertical="top" wrapText="1"/>
    </xf>
    <xf numFmtId="0" fontId="7" fillId="7" borderId="0" xfId="0" applyFont="1" applyFill="1"/>
    <xf numFmtId="0" fontId="75" fillId="0" borderId="0" xfId="0" applyFont="1" applyFill="1" applyBorder="1" applyAlignment="1">
      <alignment horizontal="center" vertical="top"/>
    </xf>
    <xf numFmtId="0" fontId="75" fillId="0" borderId="0" xfId="0" applyFont="1" applyFill="1" applyBorder="1" applyAlignment="1">
      <alignment horizontal="center" vertical="top" wrapText="1"/>
    </xf>
    <xf numFmtId="0" fontId="140" fillId="22" borderId="25" xfId="0" applyFont="1" applyFill="1" applyBorder="1" applyAlignment="1">
      <alignment horizontal="left" vertical="top"/>
    </xf>
    <xf numFmtId="0" fontId="134" fillId="0" borderId="0" xfId="0" applyFont="1" applyFill="1" applyBorder="1" applyAlignment="1"/>
    <xf numFmtId="0" fontId="32" fillId="0" borderId="0" xfId="0" applyFont="1" applyFill="1" applyBorder="1" applyAlignment="1"/>
    <xf numFmtId="0" fontId="24" fillId="0" borderId="0" xfId="0" applyFont="1" applyFill="1" applyAlignment="1">
      <alignment vertical="center"/>
    </xf>
    <xf numFmtId="0" fontId="131" fillId="6" borderId="0" xfId="0" applyFont="1" applyFill="1" applyAlignment="1"/>
    <xf numFmtId="0" fontId="131" fillId="6" borderId="0" xfId="0" applyFont="1" applyFill="1" applyAlignment="1">
      <alignment horizontal="right"/>
    </xf>
    <xf numFmtId="0" fontId="131" fillId="6" borderId="0" xfId="0" applyFont="1" applyFill="1" applyAlignment="1">
      <alignment horizontal="left"/>
    </xf>
    <xf numFmtId="0" fontId="147" fillId="7" borderId="0" xfId="0" applyFont="1" applyFill="1" applyBorder="1" applyAlignment="1">
      <alignment horizontal="center" vertical="center" wrapText="1"/>
    </xf>
    <xf numFmtId="0" fontId="130" fillId="7" borderId="0" xfId="0" applyFont="1" applyFill="1" applyAlignment="1">
      <alignment horizontal="left" indent="1"/>
    </xf>
    <xf numFmtId="0" fontId="130" fillId="7" borderId="0" xfId="0" quotePrefix="1" applyFont="1" applyFill="1" applyAlignment="1">
      <alignment horizontal="left" indent="1"/>
    </xf>
    <xf numFmtId="0" fontId="130" fillId="0" borderId="0" xfId="16" quotePrefix="1" applyFont="1" applyFill="1" applyAlignment="1">
      <alignment horizontal="left" vertical="top" indent="2"/>
    </xf>
    <xf numFmtId="0" fontId="130" fillId="0" borderId="6" xfId="3" applyFont="1" applyFill="1" applyBorder="1" applyAlignment="1">
      <alignment vertical="top" wrapText="1"/>
    </xf>
    <xf numFmtId="0" fontId="130" fillId="0" borderId="6" xfId="3" applyFont="1" applyFill="1" applyBorder="1" applyAlignment="1">
      <alignment vertical="top"/>
    </xf>
    <xf numFmtId="0" fontId="137" fillId="0" borderId="0" xfId="16" applyFont="1" applyFill="1" applyBorder="1" applyAlignment="1">
      <alignment vertical="top" wrapText="1"/>
    </xf>
    <xf numFmtId="164" fontId="137" fillId="0" borderId="2" xfId="16" applyNumberFormat="1" applyFont="1" applyFill="1" applyBorder="1" applyAlignment="1">
      <alignment horizontal="right" vertical="top" wrapText="1"/>
    </xf>
    <xf numFmtId="0" fontId="137" fillId="0" borderId="0" xfId="16" applyFont="1" applyFill="1" applyBorder="1" applyAlignment="1">
      <alignment horizontal="right" vertical="top" wrapText="1"/>
    </xf>
    <xf numFmtId="164" fontId="137" fillId="0" borderId="0" xfId="16" applyNumberFormat="1" applyFont="1" applyFill="1" applyBorder="1" applyAlignment="1">
      <alignment horizontal="right" vertical="top" wrapText="1"/>
    </xf>
    <xf numFmtId="164" fontId="138" fillId="0" borderId="2" xfId="16" applyNumberFormat="1" applyFont="1" applyFill="1" applyBorder="1" applyAlignment="1">
      <alignment horizontal="right" vertical="top" wrapText="1"/>
    </xf>
    <xf numFmtId="0" fontId="131" fillId="0" borderId="6" xfId="0" applyFont="1" applyBorder="1" applyAlignment="1">
      <alignment horizontal="right"/>
    </xf>
    <xf numFmtId="0" fontId="130" fillId="11" borderId="0" xfId="5" applyFont="1" applyFill="1" applyAlignment="1"/>
    <xf numFmtId="0" fontId="131" fillId="11" borderId="0" xfId="0" applyFont="1" applyFill="1" applyBorder="1"/>
    <xf numFmtId="0" fontId="131" fillId="11" borderId="8" xfId="0" applyFont="1" applyFill="1" applyBorder="1"/>
    <xf numFmtId="0" fontId="131" fillId="6" borderId="0" xfId="16" applyFont="1" applyFill="1" applyAlignment="1">
      <alignment horizontal="right"/>
    </xf>
    <xf numFmtId="0" fontId="131" fillId="6" borderId="0" xfId="16" applyFont="1" applyFill="1" applyAlignment="1">
      <alignment horizontal="center"/>
    </xf>
    <xf numFmtId="0" fontId="131" fillId="6" borderId="0" xfId="16" applyFont="1" applyFill="1" applyAlignment="1">
      <alignment horizontal="left" vertical="top"/>
    </xf>
    <xf numFmtId="0" fontId="7" fillId="7" borderId="0" xfId="0" applyFont="1" applyFill="1" applyAlignment="1">
      <alignment horizontal="left" vertical="top" wrapText="1"/>
    </xf>
    <xf numFmtId="0" fontId="5" fillId="3" borderId="0" xfId="0" applyFont="1" applyFill="1" applyAlignment="1">
      <alignment horizontal="center" vertical="top" wrapText="1"/>
    </xf>
    <xf numFmtId="0" fontId="67" fillId="0" borderId="0" xfId="0" applyFont="1" applyFill="1" applyAlignment="1"/>
    <xf numFmtId="0" fontId="1" fillId="0" borderId="0" xfId="0" applyFont="1" applyFill="1" applyAlignment="1">
      <alignment horizontal="right" vertical="top" wrapText="1"/>
    </xf>
    <xf numFmtId="0" fontId="70" fillId="0" borderId="0" xfId="0" applyFont="1" applyAlignment="1">
      <alignment vertical="top" wrapText="1"/>
    </xf>
    <xf numFmtId="0" fontId="182" fillId="5" borderId="0" xfId="0" applyFont="1" applyFill="1"/>
    <xf numFmtId="0" fontId="68" fillId="0" borderId="0" xfId="0" applyFont="1" applyAlignment="1">
      <alignment vertical="top" wrapText="1"/>
    </xf>
    <xf numFmtId="0" fontId="7" fillId="7" borderId="0" xfId="0" applyFont="1" applyFill="1" applyAlignment="1">
      <alignment horizontal="left" vertical="top" wrapText="1"/>
    </xf>
    <xf numFmtId="0" fontId="135" fillId="0" borderId="0" xfId="0" applyFont="1" applyFill="1" applyBorder="1" applyAlignment="1">
      <alignment horizontal="left" vertical="top"/>
    </xf>
    <xf numFmtId="0" fontId="83" fillId="7" borderId="0" xfId="0" applyFont="1" applyFill="1" applyBorder="1" applyAlignment="1">
      <alignment horizontal="center" vertical="top"/>
    </xf>
    <xf numFmtId="0" fontId="75" fillId="7" borderId="0" xfId="0" applyFont="1" applyFill="1" applyBorder="1" applyAlignment="1">
      <alignment horizontal="center" vertical="top" wrapText="1"/>
    </xf>
    <xf numFmtId="0" fontId="131" fillId="0" borderId="0" xfId="0" applyFont="1" applyFill="1" applyBorder="1" applyAlignment="1">
      <alignment horizontal="right" vertical="center" wrapText="1"/>
    </xf>
    <xf numFmtId="0" fontId="86" fillId="7" borderId="0" xfId="16" applyFont="1" applyFill="1" applyAlignment="1">
      <alignment horizontal="center" vertical="center" wrapText="1"/>
    </xf>
    <xf numFmtId="0" fontId="96" fillId="7" borderId="0" xfId="0" applyFont="1" applyFill="1" applyAlignment="1">
      <alignment horizontal="center" vertical="top"/>
    </xf>
    <xf numFmtId="0" fontId="7" fillId="7" borderId="0" xfId="0" applyFont="1" applyFill="1" applyAlignment="1">
      <alignment horizontal="left" wrapText="1"/>
    </xf>
    <xf numFmtId="0" fontId="21" fillId="7" borderId="0" xfId="0" applyFont="1" applyFill="1" applyAlignment="1">
      <alignment horizontal="left" vertical="top" wrapText="1"/>
    </xf>
    <xf numFmtId="0" fontId="21" fillId="7" borderId="0" xfId="0" applyFont="1" applyFill="1" applyAlignment="1">
      <alignment vertical="top"/>
    </xf>
    <xf numFmtId="0" fontId="130" fillId="6" borderId="0" xfId="0" applyFont="1" applyFill="1" applyAlignment="1">
      <alignment horizontal="center" vertical="top" wrapText="1"/>
    </xf>
    <xf numFmtId="0" fontId="130" fillId="7" borderId="0" xfId="0" applyFont="1" applyFill="1" applyAlignment="1">
      <alignment horizontal="justify" vertical="top" wrapText="1"/>
    </xf>
    <xf numFmtId="0" fontId="185" fillId="0" borderId="0" xfId="0" applyFont="1" applyFill="1"/>
    <xf numFmtId="164" fontId="137" fillId="6" borderId="0" xfId="1" applyNumberFormat="1" applyFont="1" applyFill="1" applyBorder="1" applyAlignment="1">
      <alignment horizontal="right" vertical="top" wrapText="1"/>
    </xf>
    <xf numFmtId="0" fontId="132" fillId="7" borderId="0" xfId="0" applyFont="1" applyFill="1" applyAlignment="1">
      <alignment horizontal="left" vertical="top"/>
    </xf>
    <xf numFmtId="164" fontId="131" fillId="6" borderId="6" xfId="1" applyNumberFormat="1" applyFont="1" applyFill="1" applyBorder="1" applyAlignment="1">
      <alignment horizontal="right" vertical="top"/>
    </xf>
    <xf numFmtId="164" fontId="131" fillId="6" borderId="0" xfId="1" applyNumberFormat="1" applyFont="1" applyFill="1" applyBorder="1" applyAlignment="1">
      <alignment horizontal="right" vertical="top"/>
    </xf>
    <xf numFmtId="164" fontId="131" fillId="6" borderId="2" xfId="1" applyNumberFormat="1" applyFont="1" applyFill="1" applyBorder="1" applyAlignment="1">
      <alignment horizontal="right" vertical="top"/>
    </xf>
    <xf numFmtId="0" fontId="29" fillId="2" borderId="25" xfId="4" applyFont="1" applyFill="1" applyBorder="1" applyAlignment="1">
      <alignment horizontal="left" wrapText="1"/>
    </xf>
    <xf numFmtId="0" fontId="29" fillId="2" borderId="26" xfId="4" applyFont="1" applyFill="1" applyBorder="1" applyAlignment="1">
      <alignment horizontal="left" wrapText="1"/>
    </xf>
    <xf numFmtId="0" fontId="29" fillId="2" borderId="27" xfId="4" applyFont="1" applyFill="1" applyBorder="1" applyAlignment="1">
      <alignment horizontal="left" wrapText="1"/>
    </xf>
    <xf numFmtId="0" fontId="29" fillId="2" borderId="28" xfId="4" applyFont="1" applyFill="1" applyBorder="1" applyAlignment="1">
      <alignment horizontal="left" wrapText="1"/>
    </xf>
    <xf numFmtId="0" fontId="29" fillId="2" borderId="0" xfId="4" applyFont="1" applyFill="1" applyBorder="1" applyAlignment="1">
      <alignment horizontal="left" wrapText="1"/>
    </xf>
    <xf numFmtId="0" fontId="29" fillId="2" borderId="24" xfId="4" applyFont="1" applyFill="1" applyBorder="1" applyAlignment="1">
      <alignment horizontal="left" wrapText="1"/>
    </xf>
    <xf numFmtId="0" fontId="64" fillId="2" borderId="28" xfId="4" applyFont="1" applyFill="1" applyBorder="1" applyAlignment="1">
      <alignment horizontal="left" wrapText="1"/>
    </xf>
    <xf numFmtId="0" fontId="64" fillId="2" borderId="0" xfId="4" applyFont="1" applyFill="1" applyBorder="1" applyAlignment="1">
      <alignment horizontal="left" wrapText="1"/>
    </xf>
    <xf numFmtId="0" fontId="64" fillId="2" borderId="24" xfId="4" applyFont="1" applyFill="1" applyBorder="1" applyAlignment="1">
      <alignment horizontal="left" wrapText="1"/>
    </xf>
    <xf numFmtId="0" fontId="111" fillId="23" borderId="0" xfId="0" applyFont="1" applyFill="1" applyAlignment="1">
      <alignment horizontal="center" vertical="center" wrapText="1"/>
    </xf>
    <xf numFmtId="0" fontId="1" fillId="0" borderId="0" xfId="0" applyFont="1" applyFill="1" applyAlignment="1">
      <alignment horizontal="left" vertical="top" wrapText="1"/>
    </xf>
    <xf numFmtId="0" fontId="84" fillId="0" borderId="0" xfId="0" applyFont="1" applyAlignment="1">
      <alignment horizontal="center" vertical="center"/>
    </xf>
    <xf numFmtId="0" fontId="23" fillId="11" borderId="0" xfId="0" applyFont="1" applyFill="1" applyAlignment="1">
      <alignment horizontal="left" vertical="top" wrapText="1"/>
    </xf>
    <xf numFmtId="0" fontId="1" fillId="7" borderId="0" xfId="0" applyFont="1" applyFill="1" applyAlignment="1">
      <alignment horizontal="left" wrapText="1"/>
    </xf>
    <xf numFmtId="0" fontId="5" fillId="0" borderId="0" xfId="0" applyFont="1" applyAlignment="1">
      <alignment horizontal="left" vertical="top" wrapText="1"/>
    </xf>
    <xf numFmtId="0" fontId="19" fillId="0" borderId="0" xfId="0" applyFont="1" applyAlignment="1">
      <alignment horizontal="center" vertical="top"/>
    </xf>
    <xf numFmtId="0" fontId="42" fillId="5" borderId="28" xfId="0" applyFont="1" applyFill="1" applyBorder="1" applyAlignment="1">
      <alignment horizontal="center" vertical="top" wrapText="1"/>
    </xf>
    <xf numFmtId="0" fontId="44" fillId="0" borderId="0" xfId="0" applyFont="1" applyBorder="1" applyAlignment="1">
      <alignment vertical="top" wrapText="1"/>
    </xf>
    <xf numFmtId="0" fontId="44" fillId="0" borderId="24" xfId="0" applyFont="1" applyBorder="1" applyAlignment="1">
      <alignment vertical="top" wrapText="1"/>
    </xf>
    <xf numFmtId="0" fontId="45" fillId="5" borderId="28" xfId="0" applyFont="1" applyFill="1" applyBorder="1" applyAlignment="1">
      <alignment horizontal="center" vertical="top" wrapText="1"/>
    </xf>
    <xf numFmtId="0" fontId="45" fillId="5" borderId="0" xfId="0" applyFont="1" applyFill="1" applyBorder="1" applyAlignment="1">
      <alignment horizontal="center" vertical="top" wrapText="1"/>
    </xf>
    <xf numFmtId="0" fontId="45" fillId="5" borderId="24" xfId="0" applyFont="1" applyFill="1" applyBorder="1" applyAlignment="1">
      <alignment horizontal="center" vertical="top" wrapText="1"/>
    </xf>
    <xf numFmtId="0" fontId="42" fillId="5" borderId="0" xfId="0" applyFont="1" applyFill="1" applyBorder="1" applyAlignment="1">
      <alignment horizontal="center" vertical="top" wrapText="1"/>
    </xf>
    <xf numFmtId="0" fontId="42" fillId="5" borderId="24" xfId="0" applyFont="1" applyFill="1" applyBorder="1" applyAlignment="1">
      <alignment horizontal="center" vertical="top" wrapText="1"/>
    </xf>
    <xf numFmtId="0" fontId="42" fillId="5" borderId="25" xfId="0" applyFont="1" applyFill="1" applyBorder="1" applyAlignment="1">
      <alignment horizontal="center" vertical="top" wrapText="1"/>
    </xf>
    <xf numFmtId="0" fontId="42" fillId="5" borderId="26" xfId="0" applyFont="1" applyFill="1" applyBorder="1" applyAlignment="1">
      <alignment horizontal="center" vertical="top" wrapText="1"/>
    </xf>
    <xf numFmtId="0" fontId="42" fillId="5" borderId="27" xfId="0" applyFont="1" applyFill="1" applyBorder="1" applyAlignment="1">
      <alignment horizontal="center" vertical="top" wrapText="1"/>
    </xf>
    <xf numFmtId="0" fontId="44" fillId="0" borderId="0" xfId="0" applyFont="1" applyBorder="1" applyAlignment="1">
      <alignment horizontal="center" vertical="top" wrapText="1"/>
    </xf>
    <xf numFmtId="0" fontId="44" fillId="0" borderId="24" xfId="0" applyFont="1" applyBorder="1" applyAlignment="1">
      <alignment horizontal="center" vertical="top" wrapText="1"/>
    </xf>
    <xf numFmtId="0" fontId="6" fillId="0" borderId="7" xfId="0" applyFont="1" applyFill="1" applyBorder="1" applyAlignment="1">
      <alignment horizontal="justify" vertical="top" wrapText="1"/>
    </xf>
    <xf numFmtId="0" fontId="8" fillId="0" borderId="0" xfId="0" applyFont="1" applyFill="1" applyAlignment="1">
      <alignment horizontal="center" vertical="center" wrapText="1"/>
    </xf>
    <xf numFmtId="0" fontId="24" fillId="0" borderId="0" xfId="0" applyFont="1" applyFill="1" applyAlignment="1">
      <alignment horizontal="center" vertical="center" wrapText="1"/>
    </xf>
    <xf numFmtId="0" fontId="6" fillId="3" borderId="7" xfId="0" applyFont="1" applyFill="1" applyBorder="1" applyAlignment="1">
      <alignment horizontal="center" wrapText="1"/>
    </xf>
    <xf numFmtId="0" fontId="6" fillId="0" borderId="7" xfId="0" applyFont="1" applyFill="1" applyBorder="1" applyAlignment="1">
      <alignment horizontal="left" wrapText="1"/>
    </xf>
    <xf numFmtId="1" fontId="6" fillId="0" borderId="19" xfId="0" applyNumberFormat="1" applyFont="1" applyFill="1" applyBorder="1" applyAlignment="1">
      <alignment horizontal="center" wrapText="1"/>
    </xf>
    <xf numFmtId="1" fontId="6" fillId="0" borderId="18" xfId="0" applyNumberFormat="1" applyFont="1" applyFill="1" applyBorder="1" applyAlignment="1">
      <alignment horizontal="center" wrapText="1"/>
    </xf>
    <xf numFmtId="0" fontId="8" fillId="0" borderId="0" xfId="0" applyFont="1" applyFill="1" applyAlignment="1">
      <alignment horizontal="center" vertical="top" wrapText="1"/>
    </xf>
    <xf numFmtId="0" fontId="8" fillId="0" borderId="0" xfId="0" applyFont="1" applyAlignment="1">
      <alignment horizontal="center" vertical="top"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0" fontId="7" fillId="0" borderId="0" xfId="0" applyFont="1" applyFill="1" applyBorder="1" applyAlignment="1">
      <alignment horizontal="left" vertical="top" wrapText="1"/>
    </xf>
    <xf numFmtId="0" fontId="72" fillId="3" borderId="0" xfId="0" applyFont="1" applyFill="1" applyAlignment="1">
      <alignment horizontal="center" vertical="top" wrapText="1"/>
    </xf>
    <xf numFmtId="0" fontId="94" fillId="7" borderId="0" xfId="0" applyFont="1" applyFill="1" applyAlignment="1">
      <alignment horizontal="left" vertical="top" wrapText="1"/>
    </xf>
    <xf numFmtId="0" fontId="7" fillId="6" borderId="0" xfId="0" applyFont="1" applyFill="1" applyAlignment="1">
      <alignment horizontal="left" vertical="top" wrapText="1"/>
    </xf>
    <xf numFmtId="0" fontId="72" fillId="0" borderId="0" xfId="0" applyFont="1" applyFill="1" applyAlignment="1">
      <alignment horizontal="left" vertical="top" wrapText="1"/>
    </xf>
    <xf numFmtId="0" fontId="82" fillId="0" borderId="53" xfId="5" applyFont="1" applyFill="1" applyBorder="1" applyAlignment="1">
      <alignment horizontal="left" vertical="top" wrapText="1"/>
    </xf>
    <xf numFmtId="0" fontId="82" fillId="0" borderId="54" xfId="5" applyFont="1" applyFill="1" applyBorder="1" applyAlignment="1">
      <alignment horizontal="left" vertical="top" wrapText="1"/>
    </xf>
    <xf numFmtId="0" fontId="82" fillId="0" borderId="55" xfId="5" applyFont="1" applyFill="1" applyBorder="1" applyAlignment="1">
      <alignment horizontal="left" vertical="top" wrapText="1"/>
    </xf>
    <xf numFmtId="0" fontId="82" fillId="6" borderId="0" xfId="0" applyFont="1" applyFill="1" applyAlignment="1">
      <alignment horizontal="left" vertical="top" wrapText="1"/>
    </xf>
    <xf numFmtId="0" fontId="7" fillId="0" borderId="0" xfId="0" applyFont="1" applyFill="1" applyAlignment="1">
      <alignment horizontal="left" vertical="top" wrapText="1"/>
    </xf>
    <xf numFmtId="0" fontId="5" fillId="9" borderId="0" xfId="0" applyFont="1" applyFill="1" applyAlignment="1">
      <alignment horizontal="center" vertical="top" wrapText="1"/>
    </xf>
    <xf numFmtId="0" fontId="32" fillId="0" borderId="0" xfId="0" applyFont="1" applyFill="1" applyAlignment="1">
      <alignment horizontal="left" vertical="top" wrapText="1"/>
    </xf>
    <xf numFmtId="0" fontId="7" fillId="8" borderId="0" xfId="0" applyFont="1" applyFill="1" applyAlignment="1">
      <alignment horizontal="left" vertical="top" wrapText="1"/>
    </xf>
    <xf numFmtId="0" fontId="7" fillId="7" borderId="0" xfId="0" applyFont="1" applyFill="1" applyAlignment="1">
      <alignment horizontal="left" vertical="top" wrapText="1"/>
    </xf>
    <xf numFmtId="0" fontId="123" fillId="6" borderId="0" xfId="0" applyFont="1" applyFill="1" applyAlignment="1">
      <alignment horizontal="left" vertical="top" wrapText="1"/>
    </xf>
    <xf numFmtId="0" fontId="31" fillId="0" borderId="0" xfId="0" applyFont="1" applyFill="1" applyBorder="1" applyAlignment="1">
      <alignment horizontal="left" wrapText="1"/>
    </xf>
    <xf numFmtId="0" fontId="32" fillId="6" borderId="0" xfId="0" applyFont="1" applyFill="1" applyAlignment="1">
      <alignment horizontal="left" vertical="top" wrapText="1"/>
    </xf>
    <xf numFmtId="0" fontId="126" fillId="0" borderId="20" xfId="0" applyFont="1" applyBorder="1" applyAlignment="1">
      <alignment horizontal="left" vertical="top" wrapText="1"/>
    </xf>
    <xf numFmtId="0" fontId="126" fillId="0" borderId="0" xfId="0" applyFont="1" applyBorder="1" applyAlignment="1">
      <alignment horizontal="left" vertical="top" wrapText="1"/>
    </xf>
    <xf numFmtId="0" fontId="96" fillId="0" borderId="21" xfId="0" applyFont="1" applyBorder="1"/>
    <xf numFmtId="0" fontId="125" fillId="0" borderId="29" xfId="0" applyFont="1" applyBorder="1" applyAlignment="1">
      <alignment horizontal="left" vertical="top" wrapText="1"/>
    </xf>
    <xf numFmtId="0" fontId="125" fillId="0" borderId="31" xfId="0" applyFont="1" applyBorder="1" applyAlignment="1">
      <alignment horizontal="left" vertical="top" wrapText="1"/>
    </xf>
    <xf numFmtId="0" fontId="125" fillId="0" borderId="30" xfId="0" applyFont="1" applyBorder="1" applyAlignment="1">
      <alignment horizontal="left" vertical="top" wrapText="1"/>
    </xf>
    <xf numFmtId="0" fontId="82" fillId="15" borderId="0" xfId="5" applyFont="1" applyFill="1" applyAlignment="1">
      <alignment horizontal="left" vertical="top" wrapText="1"/>
    </xf>
    <xf numFmtId="0" fontId="72" fillId="0" borderId="0" xfId="5" applyFont="1" applyFill="1" applyAlignment="1">
      <alignment horizontal="left" vertical="top" wrapText="1"/>
    </xf>
    <xf numFmtId="0" fontId="82" fillId="0" borderId="50" xfId="5" applyFont="1" applyFill="1" applyBorder="1" applyAlignment="1">
      <alignment horizontal="left" vertical="top" wrapText="1"/>
    </xf>
    <xf numFmtId="0" fontId="82" fillId="0" borderId="51" xfId="5" applyFont="1" applyFill="1" applyBorder="1" applyAlignment="1">
      <alignment horizontal="left" vertical="top" wrapText="1"/>
    </xf>
    <xf numFmtId="0" fontId="82" fillId="0" borderId="52" xfId="5" applyFont="1" applyFill="1" applyBorder="1" applyAlignment="1">
      <alignment horizontal="left" vertical="top" wrapText="1"/>
    </xf>
    <xf numFmtId="0" fontId="24" fillId="0" borderId="0" xfId="0" applyFont="1" applyFill="1" applyAlignment="1">
      <alignment horizontal="center" vertical="top" wrapText="1"/>
    </xf>
    <xf numFmtId="0" fontId="24" fillId="0" borderId="1" xfId="0" applyFont="1" applyFill="1" applyBorder="1" applyAlignment="1">
      <alignment horizontal="center" vertical="top" wrapText="1"/>
    </xf>
    <xf numFmtId="0" fontId="7" fillId="0" borderId="0" xfId="0" applyFont="1" applyFill="1" applyAlignment="1">
      <alignment vertical="top" wrapText="1"/>
    </xf>
    <xf numFmtId="0" fontId="130" fillId="12" borderId="28" xfId="0" applyFont="1" applyFill="1" applyBorder="1" applyAlignment="1">
      <alignment horizontal="left" vertical="top" wrapText="1"/>
    </xf>
    <xf numFmtId="0" fontId="130" fillId="12" borderId="0" xfId="0" applyFont="1" applyFill="1" applyBorder="1" applyAlignment="1">
      <alignment horizontal="left" vertical="top" wrapText="1"/>
    </xf>
    <xf numFmtId="0" fontId="130" fillId="12" borderId="24" xfId="0" applyFont="1" applyFill="1" applyBorder="1" applyAlignment="1">
      <alignment horizontal="left" vertical="top" wrapText="1"/>
    </xf>
    <xf numFmtId="0" fontId="130" fillId="6" borderId="25" xfId="0" applyFont="1" applyFill="1" applyBorder="1" applyAlignment="1">
      <alignment horizontal="left" vertical="top" wrapText="1"/>
    </xf>
    <xf numFmtId="0" fontId="130" fillId="6" borderId="26" xfId="0" applyFont="1" applyFill="1" applyBorder="1" applyAlignment="1">
      <alignment horizontal="left" vertical="top" wrapText="1"/>
    </xf>
    <xf numFmtId="0" fontId="130" fillId="6" borderId="27" xfId="0" applyFont="1" applyFill="1" applyBorder="1" applyAlignment="1">
      <alignment horizontal="left" vertical="top" wrapText="1"/>
    </xf>
    <xf numFmtId="0" fontId="130" fillId="6" borderId="0" xfId="0" applyFont="1" applyFill="1" applyAlignment="1">
      <alignment horizontal="left" vertical="top" wrapText="1"/>
    </xf>
    <xf numFmtId="0" fontId="74" fillId="0" borderId="0" xfId="0" applyFont="1" applyFill="1" applyAlignment="1">
      <alignment horizontal="left" vertical="top" wrapText="1"/>
    </xf>
    <xf numFmtId="0" fontId="130" fillId="0" borderId="0" xfId="0" applyFont="1" applyFill="1" applyAlignment="1">
      <alignment horizontal="left" wrapText="1"/>
    </xf>
    <xf numFmtId="0" fontId="130" fillId="12" borderId="25" xfId="0" applyFont="1" applyFill="1" applyBorder="1" applyAlignment="1">
      <alignment horizontal="left" vertical="top" wrapText="1"/>
    </xf>
    <xf numFmtId="0" fontId="130" fillId="12" borderId="26" xfId="0" applyFont="1" applyFill="1" applyBorder="1" applyAlignment="1">
      <alignment horizontal="left" vertical="top" wrapText="1"/>
    </xf>
    <xf numFmtId="0" fontId="130" fillId="12" borderId="27" xfId="0" applyFont="1" applyFill="1" applyBorder="1" applyAlignment="1">
      <alignment horizontal="left" vertical="top" wrapText="1"/>
    </xf>
    <xf numFmtId="0" fontId="140" fillId="12" borderId="25" xfId="0" applyFont="1" applyFill="1" applyBorder="1" applyAlignment="1">
      <alignment horizontal="left" vertical="top" wrapText="1"/>
    </xf>
    <xf numFmtId="0" fontId="140" fillId="12" borderId="26" xfId="0" applyFont="1" applyFill="1" applyBorder="1" applyAlignment="1">
      <alignment horizontal="left" vertical="top" wrapText="1"/>
    </xf>
    <xf numFmtId="0" fontId="140" fillId="12" borderId="27" xfId="0" applyFont="1" applyFill="1" applyBorder="1" applyAlignment="1">
      <alignment horizontal="left" vertical="top" wrapText="1"/>
    </xf>
    <xf numFmtId="0" fontId="130" fillId="0" borderId="0" xfId="0" applyFont="1" applyFill="1" applyAlignment="1">
      <alignment horizontal="left" vertical="top" wrapText="1"/>
    </xf>
    <xf numFmtId="0" fontId="130" fillId="7" borderId="41" xfId="0" applyFont="1" applyFill="1" applyBorder="1" applyAlignment="1">
      <alignment horizontal="left" vertical="top" wrapText="1"/>
    </xf>
    <xf numFmtId="0" fontId="130" fillId="7" borderId="42" xfId="0" applyFont="1" applyFill="1" applyBorder="1" applyAlignment="1">
      <alignment horizontal="left" vertical="top" wrapText="1"/>
    </xf>
    <xf numFmtId="0" fontId="130" fillId="7" borderId="43" xfId="0" applyFont="1" applyFill="1" applyBorder="1" applyAlignment="1">
      <alignment horizontal="left" vertical="top" wrapText="1"/>
    </xf>
    <xf numFmtId="0" fontId="130" fillId="6" borderId="28" xfId="0" applyFont="1" applyFill="1" applyBorder="1" applyAlignment="1">
      <alignment horizontal="left" vertical="top" wrapText="1"/>
    </xf>
    <xf numFmtId="0" fontId="130" fillId="6" borderId="0" xfId="0" applyFont="1" applyFill="1" applyBorder="1" applyAlignment="1">
      <alignment horizontal="left" vertical="top" wrapText="1"/>
    </xf>
    <xf numFmtId="0" fontId="130" fillId="6" borderId="24" xfId="0" applyFont="1" applyFill="1" applyBorder="1" applyAlignment="1">
      <alignment horizontal="left" vertical="top" wrapText="1"/>
    </xf>
    <xf numFmtId="0" fontId="137" fillId="6" borderId="0" xfId="0" applyFont="1" applyFill="1" applyBorder="1" applyAlignment="1">
      <alignment horizontal="left" vertical="top" wrapText="1"/>
    </xf>
    <xf numFmtId="0" fontId="130" fillId="7" borderId="25" xfId="0" applyFont="1" applyFill="1" applyBorder="1" applyAlignment="1">
      <alignment horizontal="left" vertical="top" wrapText="1"/>
    </xf>
    <xf numFmtId="0" fontId="130" fillId="7" borderId="26" xfId="0" applyFont="1" applyFill="1" applyBorder="1" applyAlignment="1">
      <alignment horizontal="left" vertical="top" wrapText="1"/>
    </xf>
    <xf numFmtId="0" fontId="130" fillId="7" borderId="27" xfId="0" applyFont="1" applyFill="1" applyBorder="1" applyAlignment="1">
      <alignment horizontal="left" vertical="top" wrapText="1"/>
    </xf>
    <xf numFmtId="0" fontId="137" fillId="6" borderId="0" xfId="3" applyFont="1" applyFill="1" applyBorder="1" applyAlignment="1">
      <alignment horizontal="left" vertical="top" wrapText="1"/>
    </xf>
    <xf numFmtId="0" fontId="137" fillId="6" borderId="25" xfId="0" applyFont="1" applyFill="1" applyBorder="1" applyAlignment="1">
      <alignment horizontal="left" wrapText="1"/>
    </xf>
    <xf numFmtId="0" fontId="137" fillId="6" borderId="26" xfId="0" applyFont="1" applyFill="1" applyBorder="1" applyAlignment="1">
      <alignment horizontal="left" wrapText="1"/>
    </xf>
    <xf numFmtId="0" fontId="137" fillId="6" borderId="27" xfId="0" applyFont="1" applyFill="1" applyBorder="1" applyAlignment="1">
      <alignment horizontal="left" wrapText="1"/>
    </xf>
    <xf numFmtId="0" fontId="137" fillId="6" borderId="28" xfId="0" applyFont="1" applyFill="1" applyBorder="1" applyAlignment="1">
      <alignment horizontal="left" vertical="top" wrapText="1"/>
    </xf>
    <xf numFmtId="0" fontId="137" fillId="0" borderId="0" xfId="0" applyFont="1" applyFill="1" applyBorder="1" applyAlignment="1">
      <alignment horizontal="center" vertical="top" wrapText="1"/>
    </xf>
    <xf numFmtId="0" fontId="137" fillId="6" borderId="24" xfId="0" applyFont="1" applyFill="1" applyBorder="1" applyAlignment="1">
      <alignment horizontal="left" vertical="top" wrapText="1"/>
    </xf>
    <xf numFmtId="0" fontId="130" fillId="22" borderId="28" xfId="0" applyFont="1" applyFill="1" applyBorder="1" applyAlignment="1">
      <alignment horizontal="left" vertical="top" wrapText="1"/>
    </xf>
    <xf numFmtId="0" fontId="130" fillId="22" borderId="0" xfId="0" applyFont="1" applyFill="1" applyBorder="1" applyAlignment="1">
      <alignment horizontal="left" vertical="top" wrapText="1"/>
    </xf>
    <xf numFmtId="0" fontId="130" fillId="22" borderId="24" xfId="0" applyFont="1" applyFill="1" applyBorder="1" applyAlignment="1">
      <alignment horizontal="left" vertical="top" wrapText="1"/>
    </xf>
    <xf numFmtId="0" fontId="130" fillId="7" borderId="28" xfId="0" applyFont="1" applyFill="1" applyBorder="1" applyAlignment="1">
      <alignment horizontal="left" vertical="top" wrapText="1"/>
    </xf>
    <xf numFmtId="0" fontId="130" fillId="7" borderId="0" xfId="0" applyFont="1" applyFill="1" applyBorder="1" applyAlignment="1">
      <alignment horizontal="left" vertical="top" wrapText="1"/>
    </xf>
    <xf numFmtId="0" fontId="130" fillId="7" borderId="24" xfId="0" applyFont="1" applyFill="1" applyBorder="1" applyAlignment="1">
      <alignment horizontal="left" vertical="top" wrapText="1"/>
    </xf>
    <xf numFmtId="0" fontId="74" fillId="0" borderId="0" xfId="0" applyFont="1" applyFill="1" applyAlignment="1">
      <alignment horizontal="left" wrapText="1"/>
    </xf>
    <xf numFmtId="0" fontId="74" fillId="0" borderId="0" xfId="0" applyFont="1" applyFill="1" applyAlignment="1">
      <alignment horizontal="left" vertical="center" wrapText="1"/>
    </xf>
    <xf numFmtId="0" fontId="137" fillId="11" borderId="44" xfId="3" applyFont="1" applyFill="1" applyBorder="1" applyAlignment="1">
      <alignment horizontal="left" vertical="top" wrapText="1"/>
    </xf>
    <xf numFmtId="0" fontId="137" fillId="11" borderId="45" xfId="3" applyFont="1" applyFill="1" applyBorder="1" applyAlignment="1">
      <alignment horizontal="left" vertical="top" wrapText="1"/>
    </xf>
    <xf numFmtId="0" fontId="137" fillId="11" borderId="46" xfId="3" applyFont="1" applyFill="1" applyBorder="1" applyAlignment="1">
      <alignment horizontal="left" vertical="top" wrapText="1"/>
    </xf>
    <xf numFmtId="0" fontId="131" fillId="13" borderId="3" xfId="0" applyFont="1" applyFill="1" applyBorder="1" applyAlignment="1">
      <alignment horizontal="left" vertical="top"/>
    </xf>
    <xf numFmtId="0" fontId="131" fillId="13" borderId="4" xfId="0" applyFont="1" applyFill="1" applyBorder="1" applyAlignment="1">
      <alignment horizontal="left" vertical="top"/>
    </xf>
    <xf numFmtId="0" fontId="131" fillId="13" borderId="5" xfId="0" applyFont="1" applyFill="1" applyBorder="1" applyAlignment="1">
      <alignment horizontal="left" vertical="top"/>
    </xf>
    <xf numFmtId="0" fontId="137" fillId="12" borderId="28" xfId="0" applyFont="1" applyFill="1" applyBorder="1" applyAlignment="1">
      <alignment horizontal="left" vertical="top" wrapText="1"/>
    </xf>
    <xf numFmtId="0" fontId="137" fillId="12" borderId="0" xfId="0" applyFont="1" applyFill="1" applyBorder="1" applyAlignment="1">
      <alignment horizontal="left" vertical="top" wrapText="1"/>
    </xf>
    <xf numFmtId="0" fontId="137" fillId="12" borderId="24" xfId="0" applyFont="1" applyFill="1" applyBorder="1" applyAlignment="1">
      <alignment horizontal="left" vertical="top" wrapText="1"/>
    </xf>
    <xf numFmtId="0" fontId="137" fillId="15" borderId="28" xfId="0" applyFont="1" applyFill="1" applyBorder="1" applyAlignment="1">
      <alignment horizontal="left" vertical="top" wrapText="1"/>
    </xf>
    <xf numFmtId="0" fontId="137" fillId="15" borderId="0" xfId="0" applyFont="1" applyFill="1" applyBorder="1" applyAlignment="1">
      <alignment horizontal="left" vertical="top" wrapText="1"/>
    </xf>
    <xf numFmtId="0" fontId="137" fillId="15" borderId="24" xfId="0" applyFont="1" applyFill="1" applyBorder="1" applyAlignment="1">
      <alignment horizontal="left" vertical="top" wrapText="1"/>
    </xf>
    <xf numFmtId="0" fontId="138" fillId="15" borderId="28" xfId="0" applyFont="1" applyFill="1" applyBorder="1" applyAlignment="1">
      <alignment horizontal="left" vertical="top" wrapText="1"/>
    </xf>
    <xf numFmtId="0" fontId="138" fillId="15" borderId="0" xfId="0" applyFont="1" applyFill="1" applyBorder="1" applyAlignment="1">
      <alignment horizontal="left" vertical="top" wrapText="1"/>
    </xf>
    <xf numFmtId="0" fontId="138" fillId="15" borderId="24" xfId="0" applyFont="1" applyFill="1" applyBorder="1" applyAlignment="1">
      <alignment horizontal="left" vertical="top" wrapText="1"/>
    </xf>
    <xf numFmtId="0" fontId="137" fillId="15" borderId="25" xfId="0" applyFont="1" applyFill="1" applyBorder="1" applyAlignment="1">
      <alignment horizontal="left" vertical="top" wrapText="1"/>
    </xf>
    <xf numFmtId="0" fontId="137" fillId="15" borderId="26" xfId="0" applyFont="1" applyFill="1" applyBorder="1" applyAlignment="1">
      <alignment horizontal="left" vertical="top" wrapText="1"/>
    </xf>
    <xf numFmtId="0" fontId="137" fillId="15" borderId="27" xfId="0" applyFont="1" applyFill="1" applyBorder="1" applyAlignment="1">
      <alignment horizontal="left" vertical="top" wrapText="1"/>
    </xf>
    <xf numFmtId="0" fontId="131" fillId="12" borderId="28" xfId="0" applyFont="1" applyFill="1" applyBorder="1" applyAlignment="1">
      <alignment horizontal="left" vertical="top" wrapText="1"/>
    </xf>
    <xf numFmtId="0" fontId="131" fillId="12" borderId="0" xfId="0" applyFont="1" applyFill="1" applyBorder="1" applyAlignment="1">
      <alignment horizontal="left" vertical="top" wrapText="1"/>
    </xf>
    <xf numFmtId="0" fontId="131" fillId="12" borderId="24" xfId="0" applyFont="1" applyFill="1" applyBorder="1" applyAlignment="1">
      <alignment horizontal="left" vertical="top" wrapText="1"/>
    </xf>
    <xf numFmtId="0" fontId="5" fillId="13" borderId="0" xfId="0" applyFont="1" applyFill="1" applyAlignment="1">
      <alignment horizontal="left" vertical="top" wrapText="1"/>
    </xf>
    <xf numFmtId="0" fontId="24" fillId="0" borderId="0" xfId="0" applyFont="1" applyFill="1" applyAlignment="1">
      <alignment horizontal="left" vertical="top" wrapText="1" indent="3"/>
    </xf>
    <xf numFmtId="0" fontId="24" fillId="0" borderId="1" xfId="0" applyFont="1" applyFill="1" applyBorder="1" applyAlignment="1">
      <alignment horizontal="left" vertical="top" wrapText="1" indent="2"/>
    </xf>
    <xf numFmtId="0" fontId="131" fillId="12" borderId="3" xfId="0" applyFont="1" applyFill="1" applyBorder="1" applyAlignment="1">
      <alignment horizontal="left" vertical="top" wrapText="1"/>
    </xf>
    <xf numFmtId="0" fontId="131" fillId="12" borderId="4" xfId="0" applyFont="1" applyFill="1" applyBorder="1" applyAlignment="1">
      <alignment horizontal="left" vertical="top" wrapText="1"/>
    </xf>
    <xf numFmtId="0" fontId="131" fillId="12" borderId="5" xfId="0" applyFont="1" applyFill="1" applyBorder="1" applyAlignment="1">
      <alignment horizontal="left" vertical="top" wrapText="1"/>
    </xf>
    <xf numFmtId="0" fontId="7" fillId="7" borderId="0" xfId="0" applyFont="1" applyFill="1" applyBorder="1" applyAlignment="1">
      <alignment horizontal="left" wrapText="1"/>
    </xf>
    <xf numFmtId="0" fontId="54" fillId="0" borderId="0" xfId="0" applyFont="1" applyAlignment="1">
      <alignment horizontal="left" vertical="top" wrapText="1"/>
    </xf>
    <xf numFmtId="0" fontId="169" fillId="7" borderId="0" xfId="0" applyFont="1" applyFill="1" applyBorder="1" applyAlignment="1">
      <alignment horizontal="left" vertical="top" wrapText="1"/>
    </xf>
    <xf numFmtId="0" fontId="169" fillId="7" borderId="0" xfId="0" applyFont="1" applyFill="1" applyBorder="1" applyAlignment="1">
      <alignment horizontal="left" vertical="top"/>
    </xf>
    <xf numFmtId="0" fontId="31" fillId="7" borderId="0" xfId="0" applyFont="1" applyFill="1" applyAlignment="1">
      <alignment horizontal="center" wrapText="1"/>
    </xf>
    <xf numFmtId="0" fontId="7" fillId="7" borderId="0" xfId="0" applyFont="1" applyFill="1" applyAlignment="1">
      <alignment horizontal="center"/>
    </xf>
    <xf numFmtId="0" fontId="5" fillId="0" borderId="0" xfId="0" applyFont="1" applyFill="1" applyAlignment="1">
      <alignment horizontal="left" vertical="top" wrapText="1"/>
    </xf>
    <xf numFmtId="0" fontId="131" fillId="0" borderId="0" xfId="0" applyFont="1" applyFill="1" applyAlignment="1">
      <alignment horizontal="center" vertical="top" wrapText="1"/>
    </xf>
    <xf numFmtId="0" fontId="131" fillId="13" borderId="28" xfId="0" applyFont="1" applyFill="1" applyBorder="1" applyAlignment="1">
      <alignment horizontal="left" vertical="top" wrapText="1"/>
    </xf>
    <xf numFmtId="0" fontId="131" fillId="13" borderId="0" xfId="0" applyFont="1" applyFill="1" applyBorder="1" applyAlignment="1">
      <alignment horizontal="left" vertical="top" wrapText="1"/>
    </xf>
    <xf numFmtId="0" fontId="131" fillId="13" borderId="24" xfId="0" applyFont="1" applyFill="1" applyBorder="1" applyAlignment="1">
      <alignment horizontal="left" vertical="top" wrapText="1"/>
    </xf>
    <xf numFmtId="0" fontId="137" fillId="0" borderId="0" xfId="0" applyFont="1" applyAlignment="1">
      <alignment horizontal="left" wrapText="1"/>
    </xf>
    <xf numFmtId="0" fontId="131" fillId="6" borderId="28" xfId="0" applyFont="1" applyFill="1" applyBorder="1" applyAlignment="1">
      <alignment horizontal="left" wrapText="1"/>
    </xf>
    <xf numFmtId="0" fontId="131" fillId="6" borderId="0" xfId="0" applyFont="1" applyFill="1" applyBorder="1" applyAlignment="1">
      <alignment horizontal="left" wrapText="1"/>
    </xf>
    <xf numFmtId="0" fontId="131" fillId="6" borderId="24" xfId="0" applyFont="1" applyFill="1" applyBorder="1" applyAlignment="1">
      <alignment horizontal="left" wrapText="1"/>
    </xf>
    <xf numFmtId="0" fontId="131" fillId="6" borderId="3" xfId="0" applyFont="1" applyFill="1" applyBorder="1" applyAlignment="1">
      <alignment horizontal="left" wrapText="1"/>
    </xf>
    <xf numFmtId="0" fontId="131" fillId="6" borderId="4" xfId="0" applyFont="1" applyFill="1" applyBorder="1" applyAlignment="1">
      <alignment horizontal="left" wrapText="1"/>
    </xf>
    <xf numFmtId="0" fontId="131" fillId="6" borderId="5" xfId="0" applyFont="1" applyFill="1" applyBorder="1" applyAlignment="1">
      <alignment horizontal="left" wrapText="1"/>
    </xf>
    <xf numFmtId="0" fontId="1" fillId="0" borderId="0" xfId="0" applyFont="1" applyAlignment="1">
      <alignment horizontal="left" vertical="top" wrapText="1"/>
    </xf>
    <xf numFmtId="0" fontId="130" fillId="13" borderId="28" xfId="0" applyFont="1" applyFill="1" applyBorder="1" applyAlignment="1">
      <alignment horizontal="left" vertical="top" wrapText="1"/>
    </xf>
    <xf numFmtId="0" fontId="130" fillId="13" borderId="0" xfId="0" applyFont="1" applyFill="1" applyBorder="1" applyAlignment="1">
      <alignment horizontal="left" vertical="top" wrapText="1"/>
    </xf>
    <xf numFmtId="0" fontId="130" fillId="13" borderId="24" xfId="0" applyFont="1" applyFill="1" applyBorder="1" applyAlignment="1">
      <alignment horizontal="left" vertical="top" wrapText="1"/>
    </xf>
    <xf numFmtId="0" fontId="5" fillId="3" borderId="0" xfId="0" applyFont="1" applyFill="1" applyAlignment="1">
      <alignment horizontal="center" vertical="top" wrapText="1"/>
    </xf>
    <xf numFmtId="0" fontId="137" fillId="0" borderId="0" xfId="0" applyFont="1" applyFill="1" applyAlignment="1">
      <alignment horizontal="left" vertical="top" wrapText="1"/>
    </xf>
    <xf numFmtId="0" fontId="130" fillId="13" borderId="25" xfId="0" applyFont="1" applyFill="1" applyBorder="1" applyAlignment="1">
      <alignment horizontal="left" vertical="top" wrapText="1"/>
    </xf>
    <xf numFmtId="0" fontId="130" fillId="13" borderId="26" xfId="0" applyFont="1" applyFill="1" applyBorder="1" applyAlignment="1">
      <alignment horizontal="left" vertical="top" wrapText="1"/>
    </xf>
    <xf numFmtId="0" fontId="130" fillId="13" borderId="27" xfId="0" applyFont="1" applyFill="1" applyBorder="1" applyAlignment="1">
      <alignment horizontal="left" vertical="top" wrapText="1"/>
    </xf>
    <xf numFmtId="0" fontId="137" fillId="6" borderId="25" xfId="0" applyFont="1" applyFill="1" applyBorder="1" applyAlignment="1">
      <alignment horizontal="left" vertical="top" wrapText="1"/>
    </xf>
    <xf numFmtId="0" fontId="137" fillId="6" borderId="26" xfId="0" applyFont="1" applyFill="1" applyBorder="1" applyAlignment="1">
      <alignment horizontal="left" vertical="top" wrapText="1"/>
    </xf>
    <xf numFmtId="0" fontId="137" fillId="6" borderId="27" xfId="0" applyFont="1" applyFill="1" applyBorder="1" applyAlignment="1">
      <alignment horizontal="left" vertical="top" wrapText="1"/>
    </xf>
    <xf numFmtId="0" fontId="137" fillId="6" borderId="0" xfId="0" applyFont="1" applyFill="1" applyAlignment="1">
      <alignment horizontal="left" vertical="top" wrapText="1"/>
    </xf>
    <xf numFmtId="0" fontId="130" fillId="0" borderId="25" xfId="0" applyFont="1" applyFill="1" applyBorder="1" applyAlignment="1">
      <alignment horizontal="left" vertical="top" wrapText="1"/>
    </xf>
    <xf numFmtId="0" fontId="130" fillId="0" borderId="26" xfId="0" applyFont="1" applyFill="1" applyBorder="1" applyAlignment="1">
      <alignment horizontal="left" vertical="top" wrapText="1"/>
    </xf>
    <xf numFmtId="0" fontId="130" fillId="0" borderId="27" xfId="0" applyFont="1" applyFill="1" applyBorder="1" applyAlignment="1">
      <alignment horizontal="left" vertical="top" wrapText="1"/>
    </xf>
    <xf numFmtId="0" fontId="131" fillId="0" borderId="0" xfId="0" applyFont="1" applyFill="1" applyBorder="1" applyAlignment="1">
      <alignment horizontal="center" vertical="top" wrapText="1"/>
    </xf>
    <xf numFmtId="0" fontId="5" fillId="3" borderId="0" xfId="0" applyFont="1" applyFill="1" applyAlignment="1">
      <alignment horizontal="left" vertical="top" wrapText="1"/>
    </xf>
    <xf numFmtId="0" fontId="130" fillId="0" borderId="0" xfId="0" applyFont="1" applyAlignment="1">
      <alignment horizontal="left" wrapText="1"/>
    </xf>
    <xf numFmtId="0" fontId="131" fillId="0" borderId="0" xfId="0" applyFont="1" applyFill="1" applyAlignment="1">
      <alignment horizontal="left" vertical="top" wrapText="1"/>
    </xf>
    <xf numFmtId="0" fontId="131" fillId="0" borderId="0" xfId="0" applyFont="1" applyFill="1" applyAlignment="1">
      <alignment horizontal="center" vertical="top"/>
    </xf>
    <xf numFmtId="0" fontId="130" fillId="17" borderId="28" xfId="0" applyFont="1" applyFill="1" applyBorder="1" applyAlignment="1">
      <alignment horizontal="left" vertical="top" wrapText="1"/>
    </xf>
    <xf numFmtId="0" fontId="130" fillId="17" borderId="0" xfId="0" applyFont="1" applyFill="1" applyBorder="1" applyAlignment="1">
      <alignment horizontal="left" vertical="top" wrapText="1"/>
    </xf>
    <xf numFmtId="0" fontId="130" fillId="17" borderId="24" xfId="0" applyFont="1" applyFill="1" applyBorder="1" applyAlignment="1">
      <alignment horizontal="left" vertical="top" wrapText="1"/>
    </xf>
    <xf numFmtId="0" fontId="131" fillId="0" borderId="0" xfId="0" applyFont="1" applyBorder="1" applyAlignment="1">
      <alignment horizontal="justify" vertical="center" wrapText="1"/>
    </xf>
    <xf numFmtId="0" fontId="130" fillId="7" borderId="0" xfId="0" applyFont="1" applyFill="1" applyBorder="1" applyAlignment="1">
      <alignment horizontal="left" wrapText="1"/>
    </xf>
    <xf numFmtId="0" fontId="137" fillId="17" borderId="0" xfId="0" applyFont="1" applyFill="1" applyAlignment="1">
      <alignment horizontal="left" vertical="top" wrapText="1"/>
    </xf>
    <xf numFmtId="0" fontId="130" fillId="0" borderId="0" xfId="0" applyFont="1" applyAlignment="1">
      <alignment horizontal="left" vertical="center" wrapText="1"/>
    </xf>
    <xf numFmtId="0" fontId="131" fillId="0" borderId="0" xfId="0" applyFont="1" applyAlignment="1">
      <alignment horizontal="left" vertical="center" wrapText="1"/>
    </xf>
    <xf numFmtId="0" fontId="53" fillId="0" borderId="0" xfId="0" applyFont="1" applyFill="1" applyBorder="1" applyAlignment="1">
      <alignment horizontal="left" vertical="top" wrapText="1"/>
    </xf>
    <xf numFmtId="0" fontId="48" fillId="7" borderId="0" xfId="0" applyFont="1" applyFill="1" applyAlignment="1">
      <alignment horizontal="left" vertical="top" wrapText="1"/>
    </xf>
    <xf numFmtId="0" fontId="132" fillId="17" borderId="0" xfId="0" applyFont="1" applyFill="1" applyAlignment="1">
      <alignment horizontal="left" vertical="top" wrapText="1"/>
    </xf>
    <xf numFmtId="0" fontId="173" fillId="0" borderId="0" xfId="0" applyFont="1" applyFill="1" applyBorder="1" applyAlignment="1">
      <alignment horizontal="left" vertical="top" wrapText="1"/>
    </xf>
    <xf numFmtId="0" fontId="71" fillId="0" borderId="0" xfId="0" applyFont="1" applyFill="1" applyBorder="1" applyAlignment="1">
      <alignment horizontal="left" vertical="top" wrapText="1"/>
    </xf>
    <xf numFmtId="0" fontId="73" fillId="11" borderId="0" xfId="0" applyFont="1" applyFill="1" applyAlignment="1">
      <alignment horizontal="left" vertical="top" wrapText="1"/>
    </xf>
    <xf numFmtId="0" fontId="130" fillId="3" borderId="0" xfId="0" applyFont="1" applyFill="1" applyAlignment="1">
      <alignment horizontal="justify" vertical="top"/>
    </xf>
    <xf numFmtId="0" fontId="133" fillId="6" borderId="0" xfId="3" applyFont="1" applyFill="1" applyAlignment="1">
      <alignment horizontal="left" vertical="top" wrapText="1"/>
    </xf>
    <xf numFmtId="0" fontId="130" fillId="11" borderId="0" xfId="0" applyFont="1" applyFill="1" applyAlignment="1">
      <alignment horizontal="left" vertical="top" wrapText="1"/>
    </xf>
    <xf numFmtId="0" fontId="130" fillId="7" borderId="0" xfId="0" applyFont="1" applyFill="1" applyAlignment="1">
      <alignment horizontal="left" vertical="top" wrapText="1"/>
    </xf>
    <xf numFmtId="0" fontId="153" fillId="7" borderId="0" xfId="0" quotePrefix="1" applyFont="1" applyFill="1" applyAlignment="1">
      <alignment horizontal="left" vertical="top" wrapText="1"/>
    </xf>
    <xf numFmtId="0" fontId="130" fillId="7" borderId="0" xfId="0" quotePrefix="1" applyFont="1" applyFill="1" applyAlignment="1">
      <alignment horizontal="left" vertical="top" wrapText="1"/>
    </xf>
    <xf numFmtId="0" fontId="137" fillId="0" borderId="0" xfId="0" applyFont="1" applyFill="1" applyAlignment="1">
      <alignment horizontal="left" wrapText="1"/>
    </xf>
    <xf numFmtId="0" fontId="153" fillId="7" borderId="0" xfId="0" applyFont="1" applyFill="1" applyAlignment="1">
      <alignment horizontal="left" vertical="top" wrapText="1"/>
    </xf>
    <xf numFmtId="0" fontId="131" fillId="0" borderId="0" xfId="0" applyFont="1" applyFill="1" applyAlignment="1">
      <alignment horizontal="left"/>
    </xf>
    <xf numFmtId="0" fontId="131" fillId="7" borderId="0" xfId="0" applyFont="1" applyFill="1" applyAlignment="1">
      <alignment horizontal="left"/>
    </xf>
    <xf numFmtId="0" fontId="131" fillId="7" borderId="0" xfId="0" applyFont="1" applyFill="1" applyAlignment="1">
      <alignment horizontal="center" wrapText="1"/>
    </xf>
    <xf numFmtId="0" fontId="24" fillId="0" borderId="0" xfId="0" applyFont="1" applyFill="1" applyAlignment="1">
      <alignment horizontal="left" vertical="top" wrapText="1" indent="1"/>
    </xf>
    <xf numFmtId="0" fontId="24" fillId="0" borderId="1" xfId="0" applyFont="1" applyFill="1" applyBorder="1" applyAlignment="1">
      <alignment horizontal="left" vertical="top" wrapText="1"/>
    </xf>
    <xf numFmtId="0" fontId="130" fillId="0" borderId="0" xfId="0" applyFont="1" applyAlignment="1">
      <alignment horizontal="left" vertical="top" wrapText="1"/>
    </xf>
    <xf numFmtId="0" fontId="131" fillId="0" borderId="0" xfId="0" applyFont="1" applyFill="1" applyAlignment="1">
      <alignment horizontal="center" wrapText="1"/>
    </xf>
    <xf numFmtId="0" fontId="53" fillId="0" borderId="3" xfId="0" applyFont="1" applyFill="1" applyBorder="1" applyAlignment="1">
      <alignment horizontal="center"/>
    </xf>
    <xf numFmtId="0" fontId="53" fillId="0" borderId="5" xfId="0" applyFont="1" applyFill="1" applyBorder="1" applyAlignment="1">
      <alignment horizontal="center"/>
    </xf>
    <xf numFmtId="0" fontId="130" fillId="7" borderId="0" xfId="0" applyFont="1" applyFill="1" applyAlignment="1">
      <alignment vertical="top" wrapText="1"/>
    </xf>
    <xf numFmtId="0" fontId="175" fillId="7" borderId="0" xfId="0" applyFont="1" applyFill="1" applyAlignment="1">
      <alignment vertical="top" wrapText="1"/>
    </xf>
    <xf numFmtId="0" fontId="130" fillId="7" borderId="0" xfId="0" applyFont="1" applyFill="1" applyAlignment="1">
      <alignment horizontal="left" wrapText="1"/>
    </xf>
    <xf numFmtId="0" fontId="130" fillId="0" borderId="0" xfId="0" applyFont="1" applyAlignment="1">
      <alignment horizontal="justify" vertical="top" wrapText="1"/>
    </xf>
    <xf numFmtId="0" fontId="72" fillId="0" borderId="0" xfId="0" applyFont="1" applyFill="1" applyBorder="1" applyAlignment="1">
      <alignment horizontal="left" vertical="top" wrapText="1"/>
    </xf>
    <xf numFmtId="0" fontId="137" fillId="6" borderId="0" xfId="0" applyFont="1" applyFill="1" applyAlignment="1">
      <alignment horizontal="justify" vertical="top" wrapText="1"/>
    </xf>
    <xf numFmtId="0" fontId="131" fillId="0" borderId="0" xfId="0" applyFont="1" applyFill="1" applyBorder="1" applyAlignment="1">
      <alignment horizontal="center" wrapText="1"/>
    </xf>
    <xf numFmtId="0" fontId="131" fillId="0" borderId="0" xfId="0" applyFont="1" applyFill="1" applyBorder="1" applyAlignment="1">
      <alignment horizontal="center"/>
    </xf>
    <xf numFmtId="0" fontId="130" fillId="0" borderId="0" xfId="0" applyFont="1" applyBorder="1" applyAlignment="1">
      <alignment horizontal="center"/>
    </xf>
    <xf numFmtId="0" fontId="130" fillId="5" borderId="0" xfId="0" applyFont="1" applyFill="1" applyBorder="1" applyAlignment="1">
      <alignment vertical="top" wrapText="1"/>
    </xf>
    <xf numFmtId="0" fontId="137" fillId="6" borderId="0" xfId="0" applyFont="1" applyFill="1" applyAlignment="1">
      <alignment vertical="top" wrapText="1"/>
    </xf>
    <xf numFmtId="0" fontId="130" fillId="0" borderId="0" xfId="0" applyFont="1" applyFill="1" applyAlignment="1">
      <alignment vertical="top" wrapText="1"/>
    </xf>
    <xf numFmtId="0" fontId="131" fillId="0" borderId="0" xfId="0" applyFont="1" applyFill="1" applyAlignment="1">
      <alignment horizontal="right" vertical="top" wrapText="1"/>
    </xf>
    <xf numFmtId="0" fontId="130" fillId="0" borderId="12" xfId="0" applyFont="1" applyBorder="1" applyAlignment="1">
      <alignment vertical="top" wrapText="1"/>
    </xf>
    <xf numFmtId="0" fontId="130" fillId="0" borderId="0" xfId="0" applyFont="1" applyBorder="1" applyAlignment="1">
      <alignment vertical="top" wrapText="1"/>
    </xf>
    <xf numFmtId="0" fontId="130" fillId="0" borderId="14" xfId="0" applyFont="1" applyBorder="1" applyAlignment="1">
      <alignment vertical="top" wrapText="1"/>
    </xf>
    <xf numFmtId="0" fontId="130" fillId="0" borderId="1" xfId="0" applyFont="1" applyBorder="1" applyAlignment="1">
      <alignment vertical="top" wrapText="1"/>
    </xf>
    <xf numFmtId="0" fontId="130" fillId="0" borderId="10" xfId="0" quotePrefix="1" applyFont="1" applyFill="1" applyBorder="1" applyAlignment="1">
      <alignment horizontal="center"/>
    </xf>
    <xf numFmtId="0" fontId="130" fillId="0" borderId="11" xfId="0" quotePrefix="1" applyFont="1" applyFill="1" applyBorder="1" applyAlignment="1">
      <alignment horizontal="center"/>
    </xf>
    <xf numFmtId="0" fontId="131" fillId="0" borderId="8" xfId="0" applyFont="1" applyFill="1" applyBorder="1" applyAlignment="1">
      <alignment horizontal="center"/>
    </xf>
    <xf numFmtId="0" fontId="131" fillId="0" borderId="2" xfId="0" applyFont="1" applyFill="1" applyBorder="1" applyAlignment="1">
      <alignment horizontal="center"/>
    </xf>
    <xf numFmtId="0" fontId="131" fillId="0" borderId="9" xfId="0" applyFont="1" applyFill="1" applyBorder="1" applyAlignment="1">
      <alignment horizontal="center"/>
    </xf>
    <xf numFmtId="0" fontId="130" fillId="0" borderId="0" xfId="0" applyFont="1" applyFill="1" applyBorder="1" applyAlignment="1">
      <alignment vertical="top"/>
    </xf>
    <xf numFmtId="0" fontId="130" fillId="15" borderId="2" xfId="0" quotePrefix="1" applyFont="1" applyFill="1" applyBorder="1" applyAlignment="1">
      <alignment horizontal="center" vertical="top" wrapText="1"/>
    </xf>
    <xf numFmtId="0" fontId="130" fillId="15" borderId="2" xfId="0" applyFont="1" applyFill="1" applyBorder="1" applyAlignment="1">
      <alignment horizontal="center" vertical="top" wrapText="1"/>
    </xf>
    <xf numFmtId="0" fontId="130" fillId="15" borderId="8" xfId="0" quotePrefix="1" applyFont="1" applyFill="1" applyBorder="1" applyAlignment="1">
      <alignment horizontal="center" vertical="top" wrapText="1"/>
    </xf>
    <xf numFmtId="0" fontId="130" fillId="15" borderId="9" xfId="0" applyFont="1" applyFill="1" applyBorder="1" applyAlignment="1">
      <alignment horizontal="center" vertical="top" wrapText="1"/>
    </xf>
    <xf numFmtId="0" fontId="130" fillId="0" borderId="14" xfId="0" applyFont="1" applyFill="1" applyBorder="1" applyAlignment="1">
      <alignment vertical="top" wrapText="1"/>
    </xf>
    <xf numFmtId="0" fontId="130" fillId="0" borderId="1" xfId="0" applyFont="1" applyFill="1" applyBorder="1" applyAlignment="1">
      <alignment vertical="top" wrapText="1"/>
    </xf>
    <xf numFmtId="0" fontId="130" fillId="0" borderId="12" xfId="0" applyFont="1" applyFill="1" applyBorder="1" applyAlignment="1">
      <alignment vertical="top" wrapText="1"/>
    </xf>
    <xf numFmtId="0" fontId="130" fillId="0" borderId="0" xfId="0" applyFont="1" applyFill="1" applyBorder="1" applyAlignment="1">
      <alignment vertical="top" wrapText="1"/>
    </xf>
    <xf numFmtId="0" fontId="5" fillId="0" borderId="0" xfId="0" applyFont="1" applyFill="1" applyAlignment="1">
      <alignment vertical="top" wrapText="1"/>
    </xf>
    <xf numFmtId="0" fontId="130" fillId="0" borderId="0" xfId="0" applyFont="1" applyAlignment="1">
      <alignment vertical="top" wrapText="1"/>
    </xf>
    <xf numFmtId="0" fontId="130" fillId="5" borderId="0" xfId="0" applyFont="1" applyFill="1" applyAlignment="1">
      <alignment horizontal="left" vertical="top" wrapText="1"/>
    </xf>
    <xf numFmtId="0" fontId="145" fillId="5" borderId="0" xfId="0" applyFont="1" applyFill="1" applyAlignment="1">
      <alignment horizontal="left" vertical="top" wrapText="1"/>
    </xf>
    <xf numFmtId="0" fontId="71" fillId="0" borderId="0" xfId="16" applyFont="1" applyFill="1" applyAlignment="1">
      <alignment horizontal="left" wrapText="1"/>
    </xf>
    <xf numFmtId="0" fontId="130" fillId="17" borderId="0" xfId="16" applyFont="1" applyFill="1" applyBorder="1" applyAlignment="1">
      <alignment horizontal="left" vertical="top" wrapText="1"/>
    </xf>
    <xf numFmtId="0" fontId="130" fillId="6" borderId="0" xfId="16" applyFont="1" applyFill="1" applyBorder="1" applyAlignment="1">
      <alignment horizontal="left" vertical="top" wrapText="1"/>
    </xf>
    <xf numFmtId="0" fontId="117" fillId="0" borderId="0" xfId="16" applyFont="1" applyFill="1" applyAlignment="1">
      <alignment horizontal="left" wrapText="1"/>
    </xf>
    <xf numFmtId="0" fontId="130" fillId="0" borderId="8" xfId="3" applyFont="1" applyFill="1" applyBorder="1" applyAlignment="1">
      <alignment horizontal="center" vertical="top" wrapText="1"/>
    </xf>
    <xf numFmtId="0" fontId="130" fillId="0" borderId="2" xfId="3" applyFont="1" applyFill="1" applyBorder="1" applyAlignment="1">
      <alignment horizontal="center" vertical="top" wrapText="1"/>
    </xf>
    <xf numFmtId="0" fontId="130" fillId="0" borderId="9" xfId="3" applyFont="1" applyFill="1" applyBorder="1" applyAlignment="1">
      <alignment horizontal="center" vertical="top" wrapText="1"/>
    </xf>
    <xf numFmtId="0" fontId="137" fillId="0" borderId="8" xfId="3" applyFont="1" applyFill="1" applyBorder="1" applyAlignment="1">
      <alignment horizontal="left" vertical="top" wrapText="1"/>
    </xf>
    <xf numFmtId="0" fontId="137" fillId="0" borderId="2" xfId="3" applyFont="1" applyFill="1" applyBorder="1" applyAlignment="1">
      <alignment horizontal="left" vertical="top" wrapText="1"/>
    </xf>
    <xf numFmtId="0" fontId="137" fillId="0" borderId="9" xfId="3" applyFont="1" applyFill="1" applyBorder="1" applyAlignment="1">
      <alignment horizontal="left" vertical="top" wrapText="1"/>
    </xf>
    <xf numFmtId="0" fontId="130" fillId="0" borderId="0" xfId="16" applyFont="1" applyFill="1" applyBorder="1" applyAlignment="1">
      <alignment horizontal="left" vertical="top" wrapText="1"/>
    </xf>
    <xf numFmtId="0" fontId="136" fillId="0" borderId="0" xfId="16" applyFont="1" applyFill="1" applyBorder="1" applyAlignment="1">
      <alignment horizontal="left" vertical="top" wrapText="1"/>
    </xf>
    <xf numFmtId="0" fontId="130" fillId="0" borderId="0" xfId="16" applyFont="1" applyFill="1" applyAlignment="1">
      <alignment horizontal="left" vertical="top" wrapText="1"/>
    </xf>
    <xf numFmtId="0" fontId="136" fillId="0" borderId="44" xfId="0" applyFont="1" applyFill="1" applyBorder="1" applyAlignment="1">
      <alignment horizontal="left" vertical="top" wrapText="1"/>
    </xf>
    <xf numFmtId="0" fontId="136" fillId="0" borderId="45" xfId="0" applyFont="1" applyFill="1" applyBorder="1" applyAlignment="1">
      <alignment horizontal="left" vertical="top" wrapText="1"/>
    </xf>
    <xf numFmtId="0" fontId="136" fillId="0" borderId="46" xfId="0" applyFont="1" applyFill="1" applyBorder="1" applyAlignment="1">
      <alignment horizontal="left" vertical="top" wrapText="1"/>
    </xf>
    <xf numFmtId="1" fontId="131" fillId="0" borderId="0" xfId="16" applyNumberFormat="1" applyFont="1" applyFill="1" applyBorder="1" applyAlignment="1">
      <alignment horizontal="center" vertical="top" wrapText="1"/>
    </xf>
    <xf numFmtId="0" fontId="131" fillId="0" borderId="0" xfId="16" applyFont="1" applyFill="1" applyBorder="1" applyAlignment="1">
      <alignment horizontal="center" vertical="top" wrapText="1"/>
    </xf>
    <xf numFmtId="0" fontId="130" fillId="0" borderId="0" xfId="16" applyFont="1" applyFill="1" applyBorder="1" applyAlignment="1">
      <alignment horizontal="center" vertical="top" wrapText="1"/>
    </xf>
    <xf numFmtId="0" fontId="131" fillId="0" borderId="1" xfId="16" applyFont="1" applyFill="1" applyBorder="1" applyAlignment="1">
      <alignment horizontal="center" vertical="top" wrapText="1"/>
    </xf>
    <xf numFmtId="0" fontId="137" fillId="0" borderId="8" xfId="3" applyFont="1" applyFill="1" applyBorder="1" applyAlignment="1">
      <alignment horizontal="center" vertical="top" wrapText="1"/>
    </xf>
    <xf numFmtId="0" fontId="137" fillId="0" borderId="2" xfId="3" applyFont="1" applyFill="1" applyBorder="1" applyAlignment="1">
      <alignment horizontal="center" vertical="top" wrapText="1"/>
    </xf>
    <xf numFmtId="0" fontId="137" fillId="0" borderId="9" xfId="3" applyFont="1" applyFill="1" applyBorder="1" applyAlignment="1">
      <alignment horizontal="center" vertical="top" wrapText="1"/>
    </xf>
    <xf numFmtId="0" fontId="137" fillId="0" borderId="0" xfId="16" applyFont="1" applyFill="1" applyBorder="1" applyAlignment="1">
      <alignment horizontal="left" vertical="top" wrapText="1"/>
    </xf>
    <xf numFmtId="0" fontId="73" fillId="0" borderId="0" xfId="16" applyFont="1" applyFill="1" applyAlignment="1">
      <alignment horizontal="left" vertical="top" wrapText="1"/>
    </xf>
    <xf numFmtId="0" fontId="130" fillId="7" borderId="0" xfId="16" applyFont="1" applyFill="1" applyBorder="1" applyAlignment="1">
      <alignment horizontal="left" vertical="top" wrapText="1"/>
    </xf>
    <xf numFmtId="0" fontId="134" fillId="0" borderId="0" xfId="16" applyFont="1" applyFill="1" applyBorder="1" applyAlignment="1">
      <alignment horizontal="left" vertical="top" wrapText="1"/>
    </xf>
    <xf numFmtId="0" fontId="130" fillId="0" borderId="0" xfId="16" applyFont="1" applyFill="1" applyBorder="1" applyAlignment="1">
      <alignment horizontal="right" vertical="center"/>
    </xf>
    <xf numFmtId="0" fontId="130" fillId="6" borderId="0" xfId="16" applyFont="1" applyFill="1" applyAlignment="1">
      <alignment horizontal="left" vertical="top" wrapText="1"/>
    </xf>
    <xf numFmtId="0" fontId="147" fillId="0" borderId="2" xfId="16" applyFont="1" applyFill="1" applyBorder="1" applyAlignment="1">
      <alignment horizontal="left" vertical="top" wrapText="1"/>
    </xf>
    <xf numFmtId="0" fontId="147" fillId="0" borderId="2" xfId="16" applyFont="1" applyFill="1" applyBorder="1" applyAlignment="1">
      <alignment horizontal="left" vertical="top"/>
    </xf>
    <xf numFmtId="0" fontId="136" fillId="0" borderId="0" xfId="16" quotePrefix="1" applyFont="1" applyFill="1" applyBorder="1" applyAlignment="1">
      <alignment horizontal="left" vertical="top" wrapText="1"/>
    </xf>
    <xf numFmtId="0" fontId="24" fillId="0" borderId="0" xfId="16" applyFont="1" applyFill="1" applyAlignment="1">
      <alignment horizontal="left" vertical="top" wrapText="1" indent="15"/>
    </xf>
    <xf numFmtId="0" fontId="24" fillId="0" borderId="1" xfId="16" applyFont="1" applyFill="1" applyBorder="1" applyAlignment="1">
      <alignment horizontal="left" vertical="top" wrapText="1" indent="14"/>
    </xf>
    <xf numFmtId="0" fontId="131" fillId="0" borderId="0" xfId="2" applyFont="1" applyFill="1" applyAlignment="1" applyProtection="1">
      <alignment horizontal="left"/>
    </xf>
    <xf numFmtId="0" fontId="5" fillId="0" borderId="0" xfId="16" applyFont="1" applyFill="1" applyAlignment="1">
      <alignment horizontal="left" vertical="top" wrapText="1"/>
    </xf>
    <xf numFmtId="0" fontId="130" fillId="0" borderId="8" xfId="3" applyFont="1" applyFill="1" applyBorder="1" applyAlignment="1">
      <alignment horizontal="left" vertical="top" wrapText="1"/>
    </xf>
    <xf numFmtId="0" fontId="130" fillId="0" borderId="9" xfId="3" applyFont="1" applyFill="1" applyBorder="1" applyAlignment="1">
      <alignment horizontal="left" vertical="top" wrapText="1"/>
    </xf>
    <xf numFmtId="0" fontId="130" fillId="0" borderId="2" xfId="3" applyFont="1" applyFill="1" applyBorder="1" applyAlignment="1">
      <alignment horizontal="left" vertical="top" wrapText="1"/>
    </xf>
    <xf numFmtId="0" fontId="102" fillId="0" borderId="0" xfId="16" applyFont="1" applyFill="1" applyAlignment="1">
      <alignment horizontal="left" vertical="top" wrapText="1"/>
    </xf>
    <xf numFmtId="0" fontId="137" fillId="0" borderId="44" xfId="0" applyFont="1" applyFill="1" applyBorder="1" applyAlignment="1">
      <alignment horizontal="left" vertical="top" wrapText="1"/>
    </xf>
    <xf numFmtId="0" fontId="137" fillId="0" borderId="45" xfId="0" applyFont="1" applyFill="1" applyBorder="1" applyAlignment="1">
      <alignment horizontal="left" vertical="top" wrapText="1"/>
    </xf>
    <xf numFmtId="0" fontId="137" fillId="0" borderId="46" xfId="0" applyFont="1" applyFill="1" applyBorder="1" applyAlignment="1">
      <alignment horizontal="left" vertical="top" wrapText="1"/>
    </xf>
    <xf numFmtId="164" fontId="137" fillId="0" borderId="14" xfId="1" applyNumberFormat="1" applyFont="1" applyFill="1" applyBorder="1" applyAlignment="1">
      <alignment horizontal="center"/>
    </xf>
    <xf numFmtId="164" fontId="137" fillId="0" borderId="15" xfId="1" applyNumberFormat="1" applyFont="1" applyFill="1" applyBorder="1" applyAlignment="1">
      <alignment horizontal="center"/>
    </xf>
    <xf numFmtId="164" fontId="137" fillId="0" borderId="64" xfId="1" applyNumberFormat="1" applyFont="1" applyFill="1" applyBorder="1" applyAlignment="1">
      <alignment horizontal="center"/>
    </xf>
    <xf numFmtId="164" fontId="137" fillId="0" borderId="66" xfId="1" applyNumberFormat="1" applyFont="1" applyFill="1" applyBorder="1" applyAlignment="1">
      <alignment horizontal="center"/>
    </xf>
    <xf numFmtId="164" fontId="137" fillId="0" borderId="12" xfId="1" applyNumberFormat="1" applyFont="1" applyFill="1" applyBorder="1" applyAlignment="1">
      <alignment horizontal="center"/>
    </xf>
    <xf numFmtId="164" fontId="137" fillId="0" borderId="13" xfId="1" applyNumberFormat="1" applyFont="1" applyFill="1" applyBorder="1" applyAlignment="1">
      <alignment horizontal="center"/>
    </xf>
    <xf numFmtId="0" fontId="131" fillId="0" borderId="14" xfId="16" applyFont="1" applyFill="1" applyBorder="1" applyAlignment="1">
      <alignment horizontal="center"/>
    </xf>
    <xf numFmtId="0" fontId="131" fillId="0" borderId="1" xfId="16" applyFont="1" applyFill="1" applyBorder="1" applyAlignment="1">
      <alignment horizontal="center"/>
    </xf>
    <xf numFmtId="0" fontId="131" fillId="0" borderId="15" xfId="16" applyFont="1" applyFill="1" applyBorder="1" applyAlignment="1">
      <alignment horizontal="center"/>
    </xf>
    <xf numFmtId="0" fontId="131" fillId="0" borderId="12" xfId="16" applyFont="1" applyFill="1" applyBorder="1" applyAlignment="1">
      <alignment horizontal="center" vertical="center" wrapText="1"/>
    </xf>
    <xf numFmtId="0" fontId="131" fillId="0" borderId="13" xfId="16" applyFont="1" applyFill="1" applyBorder="1" applyAlignment="1">
      <alignment horizontal="center" vertical="center" wrapText="1"/>
    </xf>
    <xf numFmtId="0" fontId="12" fillId="4" borderId="0" xfId="3" applyFont="1" applyFill="1" applyAlignment="1">
      <alignment vertical="top" wrapText="1"/>
    </xf>
    <xf numFmtId="0" fontId="61" fillId="7" borderId="0" xfId="16" applyFont="1" applyFill="1" applyAlignment="1">
      <alignment horizontal="left" vertical="top" wrapText="1"/>
    </xf>
    <xf numFmtId="0" fontId="24" fillId="0" borderId="0" xfId="16" applyFont="1" applyFill="1" applyAlignment="1">
      <alignment horizontal="center" vertical="top"/>
    </xf>
    <xf numFmtId="0" fontId="24" fillId="0" borderId="0" xfId="16" applyFont="1" applyFill="1" applyBorder="1" applyAlignment="1">
      <alignment horizontal="center" vertical="top"/>
    </xf>
    <xf numFmtId="0" fontId="131" fillId="0" borderId="14" xfId="16" applyFont="1" applyBorder="1" applyAlignment="1">
      <alignment horizontal="left"/>
    </xf>
    <xf numFmtId="0" fontId="131" fillId="0" borderId="15" xfId="16" applyFont="1" applyBorder="1" applyAlignment="1">
      <alignment horizontal="left"/>
    </xf>
    <xf numFmtId="0" fontId="131" fillId="0" borderId="14" xfId="16" applyFont="1" applyBorder="1" applyAlignment="1">
      <alignment horizontal="center"/>
    </xf>
    <xf numFmtId="0" fontId="131" fillId="0" borderId="15" xfId="16" applyFont="1" applyBorder="1" applyAlignment="1">
      <alignment horizontal="center"/>
    </xf>
    <xf numFmtId="3" fontId="131" fillId="0" borderId="16" xfId="1" applyNumberFormat="1" applyFont="1" applyFill="1" applyBorder="1" applyAlignment="1">
      <alignment horizontal="center"/>
    </xf>
    <xf numFmtId="3" fontId="131" fillId="0" borderId="16" xfId="16" applyNumberFormat="1" applyFont="1" applyFill="1" applyBorder="1" applyAlignment="1">
      <alignment horizontal="center"/>
    </xf>
    <xf numFmtId="3" fontId="130" fillId="0" borderId="0" xfId="16" applyNumberFormat="1" applyFont="1" applyFill="1" applyAlignment="1">
      <alignment horizontal="center"/>
    </xf>
    <xf numFmtId="3" fontId="137" fillId="0" borderId="0" xfId="1" applyNumberFormat="1" applyFont="1" applyFill="1" applyBorder="1" applyAlignment="1">
      <alignment horizontal="center"/>
    </xf>
    <xf numFmtId="3" fontId="137" fillId="0" borderId="0" xfId="16" applyNumberFormat="1" applyFont="1" applyFill="1" applyAlignment="1">
      <alignment horizontal="center"/>
    </xf>
    <xf numFmtId="3" fontId="131" fillId="0" borderId="2" xfId="1" applyNumberFormat="1" applyFont="1" applyFill="1" applyBorder="1" applyAlignment="1">
      <alignment horizontal="center"/>
    </xf>
    <xf numFmtId="3" fontId="131" fillId="0" borderId="2" xfId="16" applyNumberFormat="1" applyFont="1" applyFill="1" applyBorder="1" applyAlignment="1">
      <alignment horizontal="center"/>
    </xf>
    <xf numFmtId="0" fontId="131" fillId="0" borderId="26" xfId="16" applyFont="1" applyBorder="1" applyAlignment="1">
      <alignment horizontal="center"/>
    </xf>
    <xf numFmtId="0" fontId="110" fillId="7" borderId="0" xfId="16" applyFont="1" applyFill="1" applyAlignment="1">
      <alignment horizontal="center" wrapText="1"/>
    </xf>
    <xf numFmtId="0" fontId="131" fillId="0" borderId="0" xfId="16" applyFont="1" applyAlignment="1">
      <alignment horizontal="center" vertical="center" wrapText="1"/>
    </xf>
    <xf numFmtId="0" fontId="137" fillId="0" borderId="0" xfId="16" applyFont="1" applyFill="1" applyAlignment="1">
      <alignment horizontal="left" vertical="top" wrapText="1"/>
    </xf>
    <xf numFmtId="0" fontId="137" fillId="0" borderId="0" xfId="0" applyFont="1" applyFill="1" applyBorder="1" applyAlignment="1">
      <alignment horizontal="left" wrapText="1"/>
    </xf>
    <xf numFmtId="0" fontId="168" fillId="0" borderId="0" xfId="0" applyFont="1" applyAlignment="1">
      <alignment horizontal="left" vertical="top" wrapText="1"/>
    </xf>
    <xf numFmtId="0" fontId="134" fillId="0" borderId="8" xfId="0" applyFont="1" applyBorder="1" applyAlignment="1">
      <alignment horizontal="center" vertical="center" wrapText="1"/>
    </xf>
    <xf numFmtId="0" fontId="134" fillId="0" borderId="9" xfId="0" applyFont="1" applyBorder="1" applyAlignment="1">
      <alignment horizontal="center" vertical="center" wrapText="1"/>
    </xf>
    <xf numFmtId="0" fontId="136" fillId="0" borderId="8" xfId="0" applyFont="1" applyBorder="1" applyAlignment="1">
      <alignment horizontal="left" vertical="center" wrapText="1"/>
    </xf>
    <xf numFmtId="0" fontId="136" fillId="0" borderId="9" xfId="0" applyFont="1" applyBorder="1" applyAlignment="1">
      <alignment horizontal="left" vertical="center" wrapText="1"/>
    </xf>
    <xf numFmtId="169" fontId="137" fillId="0" borderId="8" xfId="1" applyNumberFormat="1" applyFont="1" applyFill="1" applyBorder="1" applyAlignment="1">
      <alignment horizontal="center" vertical="center"/>
    </xf>
    <xf numFmtId="169" fontId="137" fillId="0" borderId="9" xfId="1" applyNumberFormat="1" applyFont="1" applyFill="1" applyBorder="1" applyAlignment="1">
      <alignment horizontal="center" vertical="center"/>
    </xf>
    <xf numFmtId="0" fontId="136" fillId="0" borderId="8" xfId="0" applyFont="1" applyBorder="1" applyAlignment="1">
      <alignment horizontal="center" vertical="center" wrapText="1"/>
    </xf>
    <xf numFmtId="0" fontId="136" fillId="0" borderId="9" xfId="0" applyFont="1" applyBorder="1" applyAlignment="1">
      <alignment horizontal="center" vertical="center" wrapText="1"/>
    </xf>
    <xf numFmtId="0" fontId="136" fillId="0" borderId="0" xfId="0" applyFont="1" applyAlignment="1">
      <alignment horizontal="left" vertical="top" wrapText="1"/>
    </xf>
    <xf numFmtId="0" fontId="136" fillId="6" borderId="0" xfId="0" applyFont="1" applyFill="1" applyAlignment="1">
      <alignment horizontal="left" vertical="top" wrapText="1"/>
    </xf>
    <xf numFmtId="0" fontId="134" fillId="0" borderId="7" xfId="0" applyFont="1" applyBorder="1" applyAlignment="1">
      <alignment horizontal="center" vertical="center" wrapText="1"/>
    </xf>
    <xf numFmtId="0" fontId="137" fillId="0" borderId="0" xfId="16" applyFont="1" applyAlignment="1">
      <alignment horizontal="left" vertical="top" wrapText="1"/>
    </xf>
    <xf numFmtId="0" fontId="137" fillId="0" borderId="10" xfId="16" applyFont="1" applyBorder="1" applyAlignment="1">
      <alignment horizontal="center" wrapText="1"/>
    </xf>
    <xf numFmtId="0" fontId="137" fillId="0" borderId="11" xfId="16" applyFont="1" applyBorder="1" applyAlignment="1">
      <alignment horizontal="center" wrapText="1"/>
    </xf>
    <xf numFmtId="0" fontId="137" fillId="0" borderId="8" xfId="16" applyFont="1" applyBorder="1" applyAlignment="1">
      <alignment horizontal="center" wrapText="1"/>
    </xf>
    <xf numFmtId="0" fontId="137" fillId="0" borderId="2" xfId="16" applyFont="1" applyBorder="1" applyAlignment="1">
      <alignment horizontal="center" wrapText="1"/>
    </xf>
    <xf numFmtId="0" fontId="137" fillId="0" borderId="9" xfId="16" applyFont="1" applyBorder="1" applyAlignment="1">
      <alignment horizontal="center" wrapText="1"/>
    </xf>
    <xf numFmtId="0" fontId="137" fillId="0" borderId="0" xfId="16" applyFont="1" applyFill="1" applyAlignment="1">
      <alignment wrapText="1"/>
    </xf>
    <xf numFmtId="0" fontId="130" fillId="0" borderId="0" xfId="16" applyFont="1" applyAlignment="1">
      <alignment wrapText="1"/>
    </xf>
    <xf numFmtId="0" fontId="130" fillId="0" borderId="0" xfId="16" applyFont="1" applyAlignment="1">
      <alignment horizontal="left" vertical="top" wrapText="1"/>
    </xf>
    <xf numFmtId="0" fontId="162" fillId="0" borderId="0" xfId="16" applyFont="1" applyFill="1" applyAlignment="1">
      <alignment horizontal="left" vertical="top" wrapText="1"/>
    </xf>
    <xf numFmtId="0" fontId="24" fillId="0" borderId="1" xfId="16" applyFont="1" applyFill="1" applyBorder="1" applyAlignment="1">
      <alignment horizontal="center" vertical="top"/>
    </xf>
    <xf numFmtId="0" fontId="5" fillId="13" borderId="0" xfId="0" applyFont="1" applyFill="1" applyBorder="1" applyAlignment="1">
      <alignment vertical="top" wrapText="1"/>
    </xf>
    <xf numFmtId="0" fontId="130" fillId="13" borderId="28" xfId="0" applyFont="1" applyFill="1" applyBorder="1" applyAlignment="1">
      <alignment vertical="top" wrapText="1"/>
    </xf>
    <xf numFmtId="0" fontId="130" fillId="13" borderId="0" xfId="0" applyFont="1" applyFill="1" applyBorder="1" applyAlignment="1">
      <alignment vertical="top" wrapText="1"/>
    </xf>
    <xf numFmtId="0" fontId="130" fillId="13" borderId="24" xfId="0" applyFont="1" applyFill="1" applyBorder="1" applyAlignment="1">
      <alignment vertical="top" wrapText="1"/>
    </xf>
    <xf numFmtId="0" fontId="131" fillId="13" borderId="28" xfId="0" applyFont="1" applyFill="1" applyBorder="1" applyAlignment="1">
      <alignment vertical="top" wrapText="1"/>
    </xf>
    <xf numFmtId="0" fontId="131" fillId="13" borderId="0" xfId="0" applyFont="1" applyFill="1" applyBorder="1" applyAlignment="1">
      <alignment vertical="top" wrapText="1"/>
    </xf>
    <xf numFmtId="0" fontId="131" fillId="13" borderId="24" xfId="0" applyFont="1" applyFill="1" applyBorder="1" applyAlignment="1">
      <alignment vertical="top" wrapText="1"/>
    </xf>
    <xf numFmtId="0" fontId="130" fillId="13" borderId="25" xfId="0" applyFont="1" applyFill="1" applyBorder="1" applyAlignment="1">
      <alignment vertical="top" wrapText="1"/>
    </xf>
    <xf numFmtId="0" fontId="130" fillId="13" borderId="26" xfId="0" applyFont="1" applyFill="1" applyBorder="1" applyAlignment="1">
      <alignment vertical="top" wrapText="1"/>
    </xf>
    <xf numFmtId="0" fontId="130" fillId="13" borderId="27" xfId="0" applyFont="1" applyFill="1" applyBorder="1" applyAlignment="1">
      <alignment vertical="top" wrapText="1"/>
    </xf>
    <xf numFmtId="0" fontId="134" fillId="13" borderId="28" xfId="0" applyFont="1" applyFill="1" applyBorder="1" applyAlignment="1">
      <alignment vertical="top" wrapText="1"/>
    </xf>
    <xf numFmtId="0" fontId="134" fillId="13" borderId="0" xfId="0" applyFont="1" applyFill="1" applyBorder="1" applyAlignment="1">
      <alignment vertical="top" wrapText="1"/>
    </xf>
    <xf numFmtId="0" fontId="134" fillId="13" borderId="24" xfId="0" applyFont="1" applyFill="1" applyBorder="1" applyAlignment="1">
      <alignment vertical="top" wrapText="1"/>
    </xf>
    <xf numFmtId="0" fontId="131" fillId="13" borderId="3" xfId="0" applyFont="1" applyFill="1" applyBorder="1" applyAlignment="1">
      <alignment horizontal="left" vertical="top" wrapText="1"/>
    </xf>
    <xf numFmtId="0" fontId="131" fillId="13" borderId="4" xfId="0" applyFont="1" applyFill="1" applyBorder="1" applyAlignment="1">
      <alignment horizontal="left" vertical="top" wrapText="1"/>
    </xf>
    <xf numFmtId="0" fontId="131" fillId="13" borderId="5" xfId="0" applyFont="1" applyFill="1" applyBorder="1" applyAlignment="1">
      <alignment horizontal="left" vertical="top" wrapText="1"/>
    </xf>
    <xf numFmtId="0" fontId="130" fillId="0" borderId="0" xfId="5" applyFont="1" applyFill="1" applyAlignment="1">
      <alignment vertical="top" wrapText="1"/>
    </xf>
    <xf numFmtId="0" fontId="137" fillId="0" borderId="0" xfId="5" applyFont="1" applyFill="1" applyAlignment="1">
      <alignment vertical="top" wrapText="1"/>
    </xf>
    <xf numFmtId="0" fontId="138" fillId="0" borderId="10" xfId="5" applyFont="1" applyFill="1" applyBorder="1" applyAlignment="1">
      <alignment wrapText="1"/>
    </xf>
    <xf numFmtId="0" fontId="138" fillId="0" borderId="6" xfId="5" applyFont="1" applyFill="1" applyBorder="1" applyAlignment="1">
      <alignment wrapText="1"/>
    </xf>
    <xf numFmtId="0" fontId="130" fillId="0" borderId="12" xfId="5" applyFont="1" applyFill="1" applyBorder="1" applyAlignment="1">
      <alignment wrapText="1"/>
    </xf>
    <xf numFmtId="0" fontId="130" fillId="0" borderId="0" xfId="5" applyFont="1" applyFill="1" applyBorder="1" applyAlignment="1">
      <alignment wrapText="1"/>
    </xf>
    <xf numFmtId="0" fontId="130" fillId="0" borderId="14" xfId="5" applyFont="1" applyFill="1" applyBorder="1" applyAlignment="1">
      <alignment wrapText="1"/>
    </xf>
    <xf numFmtId="0" fontId="130" fillId="0" borderId="1" xfId="5" applyFont="1" applyFill="1" applyBorder="1" applyAlignment="1">
      <alignment wrapText="1"/>
    </xf>
    <xf numFmtId="0" fontId="131" fillId="0" borderId="12" xfId="5" applyFont="1" applyFill="1" applyBorder="1" applyAlignment="1">
      <alignment wrapText="1"/>
    </xf>
    <xf numFmtId="0" fontId="131" fillId="0" borderId="0" xfId="5" applyFont="1" applyFill="1" applyBorder="1" applyAlignment="1">
      <alignment wrapText="1"/>
    </xf>
    <xf numFmtId="0" fontId="131" fillId="0" borderId="0" xfId="5" applyFont="1" applyFill="1" applyAlignment="1">
      <alignment vertical="top" wrapText="1"/>
    </xf>
    <xf numFmtId="0" fontId="130" fillId="0" borderId="7" xfId="5" applyFont="1" applyFill="1" applyBorder="1" applyAlignment="1">
      <alignment wrapText="1"/>
    </xf>
    <xf numFmtId="0" fontId="150" fillId="0" borderId="7" xfId="0" applyFont="1" applyBorder="1"/>
    <xf numFmtId="0" fontId="5" fillId="0" borderId="0" xfId="5" applyFont="1" applyFill="1" applyAlignment="1">
      <alignment vertical="top" wrapText="1"/>
    </xf>
    <xf numFmtId="0" fontId="138" fillId="0" borderId="0" xfId="5" applyFont="1" applyFill="1" applyAlignment="1">
      <alignment vertical="top" wrapText="1"/>
    </xf>
    <xf numFmtId="0" fontId="130" fillId="0" borderId="7" xfId="5" applyFont="1" applyFill="1" applyBorder="1" applyAlignment="1">
      <alignment horizontal="left" vertical="top" wrapText="1"/>
    </xf>
    <xf numFmtId="0" fontId="131" fillId="0" borderId="6" xfId="5" applyFont="1" applyFill="1" applyBorder="1" applyAlignment="1">
      <alignment horizontal="center" wrapText="1"/>
    </xf>
    <xf numFmtId="0" fontId="137" fillId="0" borderId="0" xfId="0" applyFont="1" applyBorder="1" applyAlignment="1">
      <alignment horizontal="center"/>
    </xf>
    <xf numFmtId="0" fontId="137" fillId="0" borderId="1" xfId="0" applyFont="1" applyBorder="1" applyAlignment="1">
      <alignment horizontal="center"/>
    </xf>
    <xf numFmtId="0" fontId="137" fillId="0" borderId="0" xfId="5" applyFont="1" applyFill="1" applyBorder="1" applyAlignment="1">
      <alignment horizontal="center"/>
    </xf>
    <xf numFmtId="0" fontId="137" fillId="0" borderId="1" xfId="5" applyFont="1" applyFill="1" applyBorder="1" applyAlignment="1">
      <alignment horizontal="center"/>
    </xf>
    <xf numFmtId="0" fontId="72" fillId="11" borderId="47" xfId="0" applyFont="1" applyFill="1" applyBorder="1" applyAlignment="1">
      <alignment horizontal="left" vertical="top" wrapText="1"/>
    </xf>
    <xf numFmtId="0" fontId="72" fillId="11" borderId="49" xfId="0" applyFont="1" applyFill="1" applyBorder="1" applyAlignment="1">
      <alignment horizontal="left" vertical="top" wrapText="1"/>
    </xf>
    <xf numFmtId="0" fontId="72" fillId="11" borderId="48" xfId="0" applyFont="1" applyFill="1" applyBorder="1" applyAlignment="1">
      <alignment horizontal="left" vertical="top" wrapText="1"/>
    </xf>
    <xf numFmtId="0" fontId="99" fillId="14" borderId="0" xfId="19" applyFont="1" applyAlignment="1">
      <alignment horizontal="left" vertical="top" wrapText="1"/>
    </xf>
    <xf numFmtId="0" fontId="3" fillId="0" borderId="0" xfId="0" applyFont="1" applyAlignment="1">
      <alignment horizontal="left" vertical="top" wrapText="1"/>
    </xf>
    <xf numFmtId="0" fontId="104" fillId="14" borderId="0" xfId="19" applyFont="1" applyBorder="1" applyAlignment="1">
      <alignment horizontal="center" vertical="top" wrapText="1"/>
    </xf>
    <xf numFmtId="0" fontId="130" fillId="11" borderId="0" xfId="0" applyFont="1" applyFill="1" applyBorder="1" applyAlignment="1">
      <alignment horizontal="left" vertical="top" wrapText="1"/>
    </xf>
    <xf numFmtId="0" fontId="137" fillId="11" borderId="0" xfId="0" applyFont="1" applyFill="1" applyBorder="1" applyAlignment="1">
      <alignment horizontal="left" vertical="top" wrapText="1"/>
    </xf>
    <xf numFmtId="0" fontId="137" fillId="11" borderId="47" xfId="0" applyFont="1" applyFill="1" applyBorder="1" applyAlignment="1">
      <alignment horizontal="left" vertical="top" wrapText="1"/>
    </xf>
    <xf numFmtId="0" fontId="137" fillId="11" borderId="49" xfId="0" applyFont="1" applyFill="1" applyBorder="1" applyAlignment="1">
      <alignment horizontal="left" vertical="top" wrapText="1"/>
    </xf>
    <xf numFmtId="0" fontId="137" fillId="11" borderId="48" xfId="0" applyFont="1" applyFill="1" applyBorder="1" applyAlignment="1">
      <alignment horizontal="left" vertical="top" wrapText="1"/>
    </xf>
    <xf numFmtId="0" fontId="137" fillId="11" borderId="0" xfId="16" applyFont="1" applyFill="1" applyAlignment="1">
      <alignment horizontal="left" vertical="top" wrapText="1"/>
    </xf>
    <xf numFmtId="0" fontId="130" fillId="18" borderId="0" xfId="0" applyFont="1" applyFill="1" applyBorder="1" applyAlignment="1">
      <alignment horizontal="left" vertical="top" wrapText="1"/>
    </xf>
    <xf numFmtId="0" fontId="137" fillId="11" borderId="47" xfId="16" applyFont="1" applyFill="1" applyBorder="1" applyAlignment="1">
      <alignment horizontal="left" vertical="top" wrapText="1"/>
    </xf>
    <xf numFmtId="0" fontId="137" fillId="11" borderId="49" xfId="16" applyFont="1" applyFill="1" applyBorder="1" applyAlignment="1">
      <alignment horizontal="left" vertical="top" wrapText="1"/>
    </xf>
    <xf numFmtId="0" fontId="137" fillId="11" borderId="48" xfId="16" applyFont="1" applyFill="1" applyBorder="1" applyAlignment="1">
      <alignment horizontal="left" vertical="top" wrapText="1"/>
    </xf>
    <xf numFmtId="0" fontId="131" fillId="11" borderId="0" xfId="0" applyFont="1" applyFill="1" applyAlignment="1">
      <alignment horizontal="left" vertical="top" wrapText="1"/>
    </xf>
    <xf numFmtId="0" fontId="137" fillId="11" borderId="8" xfId="0" applyFont="1" applyFill="1" applyBorder="1" applyAlignment="1">
      <alignment horizontal="center"/>
    </xf>
    <xf numFmtId="0" fontId="137" fillId="11" borderId="9" xfId="0" applyFont="1" applyFill="1" applyBorder="1" applyAlignment="1">
      <alignment horizontal="center"/>
    </xf>
    <xf numFmtId="0" fontId="133" fillId="0" borderId="0" xfId="3" applyFont="1" applyAlignment="1">
      <alignment horizontal="left" vertical="top" wrapText="1"/>
    </xf>
    <xf numFmtId="0" fontId="75" fillId="0" borderId="0" xfId="0" applyFont="1" applyAlignment="1">
      <alignment horizontal="left" vertical="top" wrapText="1"/>
    </xf>
    <xf numFmtId="0" fontId="130" fillId="0" borderId="0" xfId="16" applyFont="1" applyFill="1" applyAlignment="1">
      <alignment horizontal="right" vertical="center"/>
    </xf>
    <xf numFmtId="0" fontId="21" fillId="0" borderId="0" xfId="16" applyFont="1" applyFill="1" applyAlignment="1">
      <alignment horizontal="center" vertical="top" wrapText="1"/>
    </xf>
    <xf numFmtId="0" fontId="137" fillId="11" borderId="44" xfId="16" applyFont="1" applyFill="1" applyBorder="1" applyAlignment="1">
      <alignment horizontal="left" vertical="top" wrapText="1"/>
    </xf>
    <xf numFmtId="0" fontId="137" fillId="11" borderId="45" xfId="16" applyFont="1" applyFill="1" applyBorder="1" applyAlignment="1">
      <alignment horizontal="left" vertical="top" wrapText="1"/>
    </xf>
    <xf numFmtId="0" fontId="137" fillId="11" borderId="46" xfId="16" applyFont="1" applyFill="1" applyBorder="1" applyAlignment="1">
      <alignment horizontal="left" vertical="top" wrapText="1"/>
    </xf>
    <xf numFmtId="0" fontId="133" fillId="0" borderId="0" xfId="3" applyFont="1" applyFill="1" applyAlignment="1">
      <alignment horizontal="left" vertical="top" wrapText="1"/>
    </xf>
    <xf numFmtId="0" fontId="130" fillId="0" borderId="0" xfId="16" applyFont="1" applyFill="1" applyAlignment="1">
      <alignment horizontal="center" vertical="top" wrapText="1"/>
    </xf>
    <xf numFmtId="0" fontId="131" fillId="0" borderId="0" xfId="2" applyFont="1" applyAlignment="1" applyProtection="1">
      <alignment horizontal="left"/>
    </xf>
    <xf numFmtId="0" fontId="131" fillId="0" borderId="0" xfId="16" applyFont="1" applyFill="1" applyAlignment="1">
      <alignment horizontal="right" vertical="center"/>
    </xf>
    <xf numFmtId="0" fontId="137" fillId="0" borderId="56" xfId="0" applyFont="1" applyBorder="1" applyAlignment="1">
      <alignment horizontal="center" vertical="top" wrapText="1"/>
    </xf>
    <xf numFmtId="0" fontId="137" fillId="0" borderId="57" xfId="0" applyFont="1" applyBorder="1" applyAlignment="1">
      <alignment horizontal="center" vertical="top" wrapText="1"/>
    </xf>
    <xf numFmtId="0" fontId="137" fillId="0" borderId="58" xfId="0" applyFont="1" applyBorder="1" applyAlignment="1">
      <alignment horizontal="center" vertical="top" wrapText="1"/>
    </xf>
    <xf numFmtId="0" fontId="137" fillId="0" borderId="59" xfId="0" applyFont="1" applyBorder="1" applyAlignment="1">
      <alignment horizontal="center" vertical="top" wrapText="1"/>
    </xf>
    <xf numFmtId="0" fontId="137" fillId="0" borderId="0" xfId="0" applyFont="1" applyBorder="1" applyAlignment="1">
      <alignment horizontal="center" vertical="top" wrapText="1"/>
    </xf>
    <xf numFmtId="0" fontId="137" fillId="0" borderId="60" xfId="0" applyFont="1" applyBorder="1" applyAlignment="1">
      <alignment horizontal="center" vertical="top" wrapText="1"/>
    </xf>
    <xf numFmtId="0" fontId="137" fillId="0" borderId="61" xfId="0" applyFont="1" applyBorder="1" applyAlignment="1">
      <alignment horizontal="center" vertical="top" wrapText="1"/>
    </xf>
    <xf numFmtId="0" fontId="137" fillId="0" borderId="62" xfId="0" applyFont="1" applyBorder="1" applyAlignment="1">
      <alignment horizontal="center" vertical="top" wrapText="1"/>
    </xf>
    <xf numFmtId="0" fontId="137" fillId="0" borderId="63" xfId="0" applyFont="1" applyBorder="1" applyAlignment="1">
      <alignment horizontal="center" vertical="top" wrapText="1"/>
    </xf>
    <xf numFmtId="0" fontId="134" fillId="0" borderId="0" xfId="0" applyFont="1" applyAlignment="1">
      <alignment horizontal="justify" vertical="top"/>
    </xf>
    <xf numFmtId="0" fontId="134" fillId="0" borderId="0" xfId="0" applyFont="1" applyFill="1" applyAlignment="1"/>
    <xf numFmtId="0" fontId="134" fillId="0" borderId="0" xfId="0" applyFont="1" applyAlignment="1"/>
    <xf numFmtId="0" fontId="134" fillId="0" borderId="0" xfId="0" applyFont="1" applyFill="1" applyAlignment="1">
      <alignment horizontal="left" vertical="top"/>
    </xf>
    <xf numFmtId="0" fontId="131" fillId="0" borderId="0" xfId="0" applyFont="1" applyAlignment="1">
      <alignment horizontal="left" vertical="top"/>
    </xf>
    <xf numFmtId="0" fontId="130" fillId="0" borderId="0" xfId="0" applyFont="1" applyAlignment="1"/>
  </cellXfs>
  <cellStyles count="24">
    <cellStyle name="Comma" xfId="1" builtinId="3"/>
    <cellStyle name="Comma 2" xfId="10" xr:uid="{00000000-0005-0000-0000-000001000000}"/>
    <cellStyle name="Comma 3" xfId="15" xr:uid="{00000000-0005-0000-0000-000002000000}"/>
    <cellStyle name="Comma 3 2" xfId="23" xr:uid="{00000000-0005-0000-0000-000003000000}"/>
    <cellStyle name="Comma 3 3" xfId="21" xr:uid="{00000000-0005-0000-0000-000004000000}"/>
    <cellStyle name="Currency 2" xfId="7" xr:uid="{00000000-0005-0000-0000-000005000000}"/>
    <cellStyle name="Good" xfId="19" builtinId="26"/>
    <cellStyle name="Hyperlink" xfId="2" builtinId="8"/>
    <cellStyle name="Hyperlink 2" xfId="11" xr:uid="{00000000-0005-0000-0000-000008000000}"/>
    <cellStyle name="Justified Formatting" xfId="3" xr:uid="{00000000-0005-0000-0000-000009000000}"/>
    <cellStyle name="Normal" xfId="0" builtinId="0"/>
    <cellStyle name="Normal 2" xfId="9" xr:uid="{00000000-0005-0000-0000-00000B000000}"/>
    <cellStyle name="Normal 2 2" xfId="16" xr:uid="{00000000-0005-0000-0000-00000C000000}"/>
    <cellStyle name="Normal 3" xfId="14" xr:uid="{00000000-0005-0000-0000-00000D000000}"/>
    <cellStyle name="Normal 3 2" xfId="22" xr:uid="{00000000-0005-0000-0000-00000E000000}"/>
    <cellStyle name="Normal 3 3" xfId="20" xr:uid="{00000000-0005-0000-0000-00000F000000}"/>
    <cellStyle name="Normal 9" xfId="18" xr:uid="{00000000-0005-0000-0000-000010000000}"/>
    <cellStyle name="Normal_Book1" xfId="4" xr:uid="{00000000-0005-0000-0000-000011000000}"/>
    <cellStyle name="Normal_Note 2(a)" xfId="5" xr:uid="{00000000-0005-0000-0000-000012000000}"/>
    <cellStyle name="Normal_Sheet1" xfId="6" xr:uid="{00000000-0005-0000-0000-000013000000}"/>
    <cellStyle name="Percent" xfId="17" builtinId="5"/>
    <cellStyle name="Percent 2" xfId="8" xr:uid="{00000000-0005-0000-0000-000015000000}"/>
    <cellStyle name="StandardValue" xfId="12" xr:uid="{00000000-0005-0000-0000-000016000000}"/>
    <cellStyle name="Year" xfId="13" xr:uid="{00000000-0005-0000-0000-000017000000}"/>
  </cellStyles>
  <dxfs count="4">
    <dxf>
      <font>
        <color rgb="FFFF0000"/>
      </font>
    </dxf>
    <dxf>
      <font>
        <color rgb="FFFF0000"/>
      </font>
    </dxf>
    <dxf>
      <font>
        <color rgb="FFFF0000"/>
      </font>
    </dxf>
    <dxf>
      <font>
        <color rgb="FFFF0000"/>
      </font>
    </dxf>
  </dxfs>
  <tableStyles count="0" defaultTableStyle="TableStyleMedium9" defaultPivotStyle="PivotStyleLight16"/>
  <colors>
    <mruColors>
      <color rgb="FFD6F5F8"/>
      <color rgb="FF0000FF"/>
      <color rgb="FF04206E"/>
      <color rgb="FFFF33CC"/>
      <color rgb="FFCCFFFF"/>
      <color rgb="FF8DB4E2"/>
      <color rgb="FF113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Merge Details_Printing instr'!A28:E39"/></Relationships>
</file>

<file path=xl/drawings/_rels/drawing3.xml.rels><?xml version="1.0" encoding="UTF-8" standalone="yes"?>
<Relationships xmlns="http://schemas.openxmlformats.org/package/2006/relationships"><Relationship Id="rId1" Type="http://schemas.openxmlformats.org/officeDocument/2006/relationships/hyperlink" Target="#'Merge Details_Printing instr'!A28:E39"/></Relationships>
</file>

<file path=xl/drawings/_rels/drawing4.xml.rels><?xml version="1.0" encoding="UTF-8" standalone="yes"?>
<Relationships xmlns="http://schemas.openxmlformats.org/package/2006/relationships"><Relationship Id="rId1" Type="http://schemas.openxmlformats.org/officeDocument/2006/relationships/hyperlink" Target="#'Merge Details_Printing instr'!A28:E39"/></Relationships>
</file>

<file path=xl/drawings/_rels/drawing5.xml.rels><?xml version="1.0" encoding="UTF-8" standalone="yes"?>
<Relationships xmlns="http://schemas.openxmlformats.org/package/2006/relationships"><Relationship Id="rId1" Type="http://schemas.openxmlformats.org/officeDocument/2006/relationships/hyperlink" Target="#'Merge Details_Printing instr'!A28:E39"/></Relationships>
</file>

<file path=xl/drawings/_rels/drawing6.xml.rels><?xml version="1.0" encoding="UTF-8" standalone="yes"?>
<Relationships xmlns="http://schemas.openxmlformats.org/package/2006/relationships"><Relationship Id="rId1" Type="http://schemas.openxmlformats.org/officeDocument/2006/relationships/hyperlink" Target="#'Merge Details_Printing instr'!A28:E39"/></Relationships>
</file>

<file path=xl/drawings/_rels/drawing7.xml.rels><?xml version="1.0" encoding="UTF-8" standalone="yes"?>
<Relationships xmlns="http://schemas.openxmlformats.org/package/2006/relationships"><Relationship Id="rId1" Type="http://schemas.openxmlformats.org/officeDocument/2006/relationships/hyperlink" Target="#'Merge Details_Printing instr'!A28:E39"/></Relationships>
</file>

<file path=xl/drawings/_rels/drawing8.xml.rels><?xml version="1.0" encoding="UTF-8" standalone="yes"?>
<Relationships xmlns="http://schemas.openxmlformats.org/package/2006/relationships"><Relationship Id="rId1" Type="http://schemas.openxmlformats.org/officeDocument/2006/relationships/hyperlink" Target="#'Merge Details_Printing instr'!A28:E39"/></Relationships>
</file>

<file path=xl/drawings/_rels/drawing9.xml.rels><?xml version="1.0" encoding="UTF-8" standalone="yes"?>
<Relationships xmlns="http://schemas.openxmlformats.org/package/2006/relationships"><Relationship Id="rId1" Type="http://schemas.openxmlformats.org/officeDocument/2006/relationships/hyperlink" Target="#'Merge Details_Printing instr'!A37:E47"/></Relationships>
</file>

<file path=xl/drawings/drawing1.xml><?xml version="1.0" encoding="utf-8"?>
<xdr:wsDr xmlns:xdr="http://schemas.openxmlformats.org/drawingml/2006/spreadsheetDrawing" xmlns:a="http://schemas.openxmlformats.org/drawingml/2006/main">
  <xdr:twoCellAnchor>
    <xdr:from>
      <xdr:col>2</xdr:col>
      <xdr:colOff>9525</xdr:colOff>
      <xdr:row>11</xdr:row>
      <xdr:rowOff>66675</xdr:rowOff>
    </xdr:from>
    <xdr:to>
      <xdr:col>8</xdr:col>
      <xdr:colOff>9525</xdr:colOff>
      <xdr:row>57</xdr:row>
      <xdr:rowOff>47625</xdr:rowOff>
    </xdr:to>
    <xdr:sp macro="" textlink="">
      <xdr:nvSpPr>
        <xdr:cNvPr id="2" name="AutoShape 3">
          <a:extLst>
            <a:ext uri="{FF2B5EF4-FFF2-40B4-BE49-F238E27FC236}">
              <a16:creationId xmlns:a16="http://schemas.microsoft.com/office/drawing/2014/main" id="{00000000-0008-0000-0000-000002000000}"/>
            </a:ext>
          </a:extLst>
        </xdr:cNvPr>
        <xdr:cNvSpPr>
          <a:spLocks noChangeArrowheads="1"/>
        </xdr:cNvSpPr>
      </xdr:nvSpPr>
      <xdr:spPr bwMode="auto">
        <a:xfrm>
          <a:off x="409575" y="1847850"/>
          <a:ext cx="5724525" cy="7429500"/>
        </a:xfrm>
        <a:prstGeom prst="roundRect">
          <a:avLst>
            <a:gd name="adj" fmla="val 16667"/>
          </a:avLst>
        </a:prstGeom>
        <a:solidFill>
          <a:srgbClr xmlns:mc="http://schemas.openxmlformats.org/markup-compatibility/2006" xmlns:a14="http://schemas.microsoft.com/office/drawing/2010/main" val="333399" mc:Ignorable="a14" a14:legacySpreadsheetColorIndex="6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13607</xdr:colOff>
      <xdr:row>23</xdr:row>
      <xdr:rowOff>83344</xdr:rowOff>
    </xdr:from>
    <xdr:to>
      <xdr:col>8</xdr:col>
      <xdr:colOff>127907</xdr:colOff>
      <xdr:row>34</xdr:row>
      <xdr:rowOff>130969</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32" y="3807619"/>
          <a:ext cx="60388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485775</xdr:colOff>
      <xdr:row>48</xdr:row>
      <xdr:rowOff>104775</xdr:rowOff>
    </xdr:from>
    <xdr:to>
      <xdr:col>8</xdr:col>
      <xdr:colOff>0</xdr:colOff>
      <xdr:row>57</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4686300" y="7877175"/>
          <a:ext cx="1438275" cy="1400175"/>
        </a:xfrm>
        <a:prstGeom prst="roundRect">
          <a:avLst>
            <a:gd name="adj" fmla="val 16667"/>
          </a:avLst>
        </a:prstGeom>
        <a:solidFill>
          <a:srgbClr val="0096C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9525</xdr:colOff>
      <xdr:row>48</xdr:row>
      <xdr:rowOff>104775</xdr:rowOff>
    </xdr:from>
    <xdr:to>
      <xdr:col>3</xdr:col>
      <xdr:colOff>485775</xdr:colOff>
      <xdr:row>57</xdr:row>
      <xdr:rowOff>47625</xdr:rowOff>
    </xdr:to>
    <xdr:sp macro="" textlink="">
      <xdr:nvSpPr>
        <xdr:cNvPr id="5" name="AutoShape 2">
          <a:extLst>
            <a:ext uri="{FF2B5EF4-FFF2-40B4-BE49-F238E27FC236}">
              <a16:creationId xmlns:a16="http://schemas.microsoft.com/office/drawing/2014/main" id="{00000000-0008-0000-0000-000005000000}"/>
            </a:ext>
          </a:extLst>
        </xdr:cNvPr>
        <xdr:cNvSpPr>
          <a:spLocks noChangeArrowheads="1"/>
        </xdr:cNvSpPr>
      </xdr:nvSpPr>
      <xdr:spPr bwMode="auto">
        <a:xfrm>
          <a:off x="409575" y="7877175"/>
          <a:ext cx="1438275" cy="1400175"/>
        </a:xfrm>
        <a:prstGeom prst="roundRect">
          <a:avLst>
            <a:gd name="adj" fmla="val 16667"/>
          </a:avLst>
        </a:prstGeom>
        <a:solidFill>
          <a:srgbClr val="0096C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695325</xdr:colOff>
      <xdr:row>1</xdr:row>
      <xdr:rowOff>95250</xdr:rowOff>
    </xdr:from>
    <xdr:to>
      <xdr:col>9</xdr:col>
      <xdr:colOff>9525</xdr:colOff>
      <xdr:row>10</xdr:row>
      <xdr:rowOff>66675</xdr:rowOff>
    </xdr:to>
    <xdr:sp macro="" textlink="">
      <xdr:nvSpPr>
        <xdr:cNvPr id="6" name="AutoShape 6">
          <a:extLst>
            <a:ext uri="{FF2B5EF4-FFF2-40B4-BE49-F238E27FC236}">
              <a16:creationId xmlns:a16="http://schemas.microsoft.com/office/drawing/2014/main" id="{00000000-0008-0000-0000-000006000000}"/>
            </a:ext>
          </a:extLst>
        </xdr:cNvPr>
        <xdr:cNvSpPr>
          <a:spLocks noChangeArrowheads="1"/>
        </xdr:cNvSpPr>
      </xdr:nvSpPr>
      <xdr:spPr bwMode="auto">
        <a:xfrm>
          <a:off x="4895850" y="257175"/>
          <a:ext cx="1438275" cy="1428750"/>
        </a:xfrm>
        <a:prstGeom prst="roundRect">
          <a:avLst>
            <a:gd name="adj" fmla="val 16667"/>
          </a:avLst>
        </a:prstGeom>
        <a:solidFill>
          <a:srgbClr xmlns:mc="http://schemas.openxmlformats.org/markup-compatibility/2006" xmlns:a14="http://schemas.microsoft.com/office/drawing/2010/main" val="333399" mc:Ignorable="a14" a14:legacySpreadsheetColorIndex="6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47625</xdr:colOff>
      <xdr:row>2</xdr:row>
      <xdr:rowOff>9525</xdr:rowOff>
    </xdr:from>
    <xdr:to>
      <xdr:col>6</xdr:col>
      <xdr:colOff>523875</xdr:colOff>
      <xdr:row>10</xdr:row>
      <xdr:rowOff>142875</xdr:rowOff>
    </xdr:to>
    <xdr:sp macro="" textlink="">
      <xdr:nvSpPr>
        <xdr:cNvPr id="7" name="AutoShape 7">
          <a:extLst>
            <a:ext uri="{FF2B5EF4-FFF2-40B4-BE49-F238E27FC236}">
              <a16:creationId xmlns:a16="http://schemas.microsoft.com/office/drawing/2014/main" id="{00000000-0008-0000-0000-000007000000}"/>
            </a:ext>
          </a:extLst>
        </xdr:cNvPr>
        <xdr:cNvSpPr>
          <a:spLocks noChangeArrowheads="1"/>
        </xdr:cNvSpPr>
      </xdr:nvSpPr>
      <xdr:spPr bwMode="auto">
        <a:xfrm>
          <a:off x="3333750" y="333375"/>
          <a:ext cx="1390650" cy="1428750"/>
        </a:xfrm>
        <a:prstGeom prst="roundRect">
          <a:avLst>
            <a:gd name="adj" fmla="val 16667"/>
          </a:avLst>
        </a:prstGeom>
        <a:solidFill>
          <a:srgbClr xmlns:mc="http://schemas.openxmlformats.org/markup-compatibility/2006" xmlns:a14="http://schemas.microsoft.com/office/drawing/2010/main" val="FFCC00" mc:Ignorable="a14" a14:legacySpreadsheetColorIndex="51"/>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9525</xdr:colOff>
      <xdr:row>2</xdr:row>
      <xdr:rowOff>28575</xdr:rowOff>
    </xdr:from>
    <xdr:to>
      <xdr:col>3</xdr:col>
      <xdr:colOff>485775</xdr:colOff>
      <xdr:row>11</xdr:row>
      <xdr:rowOff>0</xdr:rowOff>
    </xdr:to>
    <xdr:sp macro="" textlink="">
      <xdr:nvSpPr>
        <xdr:cNvPr id="8" name="AutoShape 8">
          <a:extLst>
            <a:ext uri="{FF2B5EF4-FFF2-40B4-BE49-F238E27FC236}">
              <a16:creationId xmlns:a16="http://schemas.microsoft.com/office/drawing/2014/main" id="{00000000-0008-0000-0000-000008000000}"/>
            </a:ext>
          </a:extLst>
        </xdr:cNvPr>
        <xdr:cNvSpPr>
          <a:spLocks noChangeArrowheads="1"/>
        </xdr:cNvSpPr>
      </xdr:nvSpPr>
      <xdr:spPr bwMode="auto">
        <a:xfrm>
          <a:off x="409575" y="352425"/>
          <a:ext cx="1438275" cy="1428750"/>
        </a:xfrm>
        <a:prstGeom prst="roundRect">
          <a:avLst>
            <a:gd name="adj" fmla="val 16667"/>
          </a:avLst>
        </a:prstGeom>
        <a:solidFill>
          <a:srgbClr xmlns:mc="http://schemas.openxmlformats.org/markup-compatibility/2006" xmlns:a14="http://schemas.microsoft.com/office/drawing/2010/main" val="FFCC00" mc:Ignorable="a14" a14:legacySpreadsheetColorIndex="51"/>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514350</xdr:colOff>
      <xdr:row>1</xdr:row>
      <xdr:rowOff>114300</xdr:rowOff>
    </xdr:from>
    <xdr:to>
      <xdr:col>5</xdr:col>
      <xdr:colOff>28575</xdr:colOff>
      <xdr:row>10</xdr:row>
      <xdr:rowOff>85725</xdr:rowOff>
    </xdr:to>
    <xdr:sp macro="" textlink="">
      <xdr:nvSpPr>
        <xdr:cNvPr id="9" name="AutoShape 9">
          <a:extLst>
            <a:ext uri="{FF2B5EF4-FFF2-40B4-BE49-F238E27FC236}">
              <a16:creationId xmlns:a16="http://schemas.microsoft.com/office/drawing/2014/main" id="{00000000-0008-0000-0000-000009000000}"/>
            </a:ext>
          </a:extLst>
        </xdr:cNvPr>
        <xdr:cNvSpPr>
          <a:spLocks noChangeArrowheads="1"/>
        </xdr:cNvSpPr>
      </xdr:nvSpPr>
      <xdr:spPr bwMode="auto">
        <a:xfrm>
          <a:off x="1876425" y="276225"/>
          <a:ext cx="1438275" cy="1428750"/>
        </a:xfrm>
        <a:prstGeom prst="roundRect">
          <a:avLst>
            <a:gd name="adj" fmla="val 16667"/>
          </a:avLst>
        </a:prstGeom>
        <a:solidFill>
          <a:srgbClr xmlns:mc="http://schemas.openxmlformats.org/markup-compatibility/2006" xmlns:a14="http://schemas.microsoft.com/office/drawing/2010/main" val="333399" mc:Ignorable="a14" a14:legacySpreadsheetColorIndex="62"/>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114300</xdr:colOff>
      <xdr:row>49</xdr:row>
      <xdr:rowOff>104775</xdr:rowOff>
    </xdr:from>
    <xdr:to>
      <xdr:col>8</xdr:col>
      <xdr:colOff>57150</xdr:colOff>
      <xdr:row>55</xdr:row>
      <xdr:rowOff>123825</xdr:rowOff>
    </xdr:to>
    <xdr:grpSp>
      <xdr:nvGrpSpPr>
        <xdr:cNvPr id="10" name="Group 10">
          <a:extLst>
            <a:ext uri="{FF2B5EF4-FFF2-40B4-BE49-F238E27FC236}">
              <a16:creationId xmlns:a16="http://schemas.microsoft.com/office/drawing/2014/main" id="{00000000-0008-0000-0000-00000A000000}"/>
            </a:ext>
          </a:extLst>
        </xdr:cNvPr>
        <xdr:cNvGrpSpPr>
          <a:grpSpLocks/>
        </xdr:cNvGrpSpPr>
      </xdr:nvGrpSpPr>
      <xdr:grpSpPr bwMode="auto">
        <a:xfrm>
          <a:off x="316006" y="8339194"/>
          <a:ext cx="5878158" cy="1031389"/>
          <a:chOff x="1320" y="12765"/>
          <a:chExt cx="9960" cy="1305"/>
        </a:xfrm>
      </xdr:grpSpPr>
      <xdr:sp macro="" textlink="">
        <xdr:nvSpPr>
          <xdr:cNvPr id="11" name="Freeform 11">
            <a:extLst>
              <a:ext uri="{FF2B5EF4-FFF2-40B4-BE49-F238E27FC236}">
                <a16:creationId xmlns:a16="http://schemas.microsoft.com/office/drawing/2014/main" id="{00000000-0008-0000-0000-00000B000000}"/>
              </a:ext>
            </a:extLst>
          </xdr:cNvPr>
          <xdr:cNvSpPr>
            <a:spLocks/>
          </xdr:cNvSpPr>
        </xdr:nvSpPr>
        <xdr:spPr bwMode="auto">
          <a:xfrm>
            <a:off x="8550" y="13770"/>
            <a:ext cx="2715" cy="285"/>
          </a:xfrm>
          <a:custGeom>
            <a:avLst/>
            <a:gdLst>
              <a:gd name="T0" fmla="*/ 2715 w 2715"/>
              <a:gd name="T1" fmla="*/ 0 h 285"/>
              <a:gd name="T2" fmla="*/ 1335 w 2715"/>
              <a:gd name="T3" fmla="*/ 120 h 285"/>
              <a:gd name="T4" fmla="*/ 0 w 2715"/>
              <a:gd name="T5" fmla="*/ 285 h 285"/>
              <a:gd name="T6" fmla="*/ 0 60000 65536"/>
              <a:gd name="T7" fmla="*/ 0 60000 65536"/>
              <a:gd name="T8" fmla="*/ 0 60000 65536"/>
            </a:gdLst>
            <a:ahLst/>
            <a:cxnLst>
              <a:cxn ang="T6">
                <a:pos x="T0" y="T1"/>
              </a:cxn>
              <a:cxn ang="T7">
                <a:pos x="T2" y="T3"/>
              </a:cxn>
              <a:cxn ang="T8">
                <a:pos x="T4" y="T5"/>
              </a:cxn>
            </a:cxnLst>
            <a:rect l="0" t="0" r="r" b="b"/>
            <a:pathLst>
              <a:path w="2715" h="285">
                <a:moveTo>
                  <a:pt x="2715" y="0"/>
                </a:moveTo>
                <a:cubicBezTo>
                  <a:pt x="2485" y="20"/>
                  <a:pt x="1787" y="73"/>
                  <a:pt x="1335" y="120"/>
                </a:cubicBezTo>
                <a:cubicBezTo>
                  <a:pt x="883" y="167"/>
                  <a:pt x="278" y="251"/>
                  <a:pt x="0" y="285"/>
                </a:cubicBezTo>
              </a:path>
            </a:pathLst>
          </a:custGeom>
          <a:noFill/>
          <a:ln w="9525">
            <a:solidFill>
              <a:srgbClr val="FFFFFF"/>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 name="Freeform 12">
            <a:extLst>
              <a:ext uri="{FF2B5EF4-FFF2-40B4-BE49-F238E27FC236}">
                <a16:creationId xmlns:a16="http://schemas.microsoft.com/office/drawing/2014/main" id="{00000000-0008-0000-0000-00000C000000}"/>
              </a:ext>
            </a:extLst>
          </xdr:cNvPr>
          <xdr:cNvSpPr>
            <a:spLocks/>
          </xdr:cNvSpPr>
        </xdr:nvSpPr>
        <xdr:spPr bwMode="auto">
          <a:xfrm>
            <a:off x="4185" y="13335"/>
            <a:ext cx="7095" cy="735"/>
          </a:xfrm>
          <a:custGeom>
            <a:avLst/>
            <a:gdLst>
              <a:gd name="T0" fmla="*/ 7095 w 7095"/>
              <a:gd name="T1" fmla="*/ 0 h 735"/>
              <a:gd name="T2" fmla="*/ 4110 w 7095"/>
              <a:gd name="T3" fmla="*/ 195 h 735"/>
              <a:gd name="T4" fmla="*/ 0 w 7095"/>
              <a:gd name="T5" fmla="*/ 735 h 735"/>
              <a:gd name="T6" fmla="*/ 0 60000 65536"/>
              <a:gd name="T7" fmla="*/ 0 60000 65536"/>
              <a:gd name="T8" fmla="*/ 0 60000 65536"/>
            </a:gdLst>
            <a:ahLst/>
            <a:cxnLst>
              <a:cxn ang="T6">
                <a:pos x="T0" y="T1"/>
              </a:cxn>
              <a:cxn ang="T7">
                <a:pos x="T2" y="T3"/>
              </a:cxn>
              <a:cxn ang="T8">
                <a:pos x="T4" y="T5"/>
              </a:cxn>
            </a:cxnLst>
            <a:rect l="0" t="0" r="r" b="b"/>
            <a:pathLst>
              <a:path w="7095" h="735">
                <a:moveTo>
                  <a:pt x="7095" y="0"/>
                </a:moveTo>
                <a:cubicBezTo>
                  <a:pt x="6600" y="33"/>
                  <a:pt x="5292" y="73"/>
                  <a:pt x="4110" y="195"/>
                </a:cubicBezTo>
                <a:cubicBezTo>
                  <a:pt x="2928" y="317"/>
                  <a:pt x="856" y="623"/>
                  <a:pt x="0" y="735"/>
                </a:cubicBezTo>
              </a:path>
            </a:pathLst>
          </a:custGeom>
          <a:noFill/>
          <a:ln w="9525">
            <a:solidFill>
              <a:srgbClr val="FFFFFF"/>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3" name="Freeform 13">
            <a:extLst>
              <a:ext uri="{FF2B5EF4-FFF2-40B4-BE49-F238E27FC236}">
                <a16:creationId xmlns:a16="http://schemas.microsoft.com/office/drawing/2014/main" id="{00000000-0008-0000-0000-00000D000000}"/>
              </a:ext>
            </a:extLst>
          </xdr:cNvPr>
          <xdr:cNvSpPr>
            <a:spLocks/>
          </xdr:cNvSpPr>
        </xdr:nvSpPr>
        <xdr:spPr bwMode="auto">
          <a:xfrm>
            <a:off x="1605" y="12945"/>
            <a:ext cx="9645" cy="1110"/>
          </a:xfrm>
          <a:custGeom>
            <a:avLst/>
            <a:gdLst>
              <a:gd name="T0" fmla="*/ 0 w 9645"/>
              <a:gd name="T1" fmla="*/ 1110 h 1110"/>
              <a:gd name="T2" fmla="*/ 5715 w 9645"/>
              <a:gd name="T3" fmla="*/ 285 h 1110"/>
              <a:gd name="T4" fmla="*/ 9645 w 9645"/>
              <a:gd name="T5" fmla="*/ 0 h 1110"/>
              <a:gd name="T6" fmla="*/ 0 60000 65536"/>
              <a:gd name="T7" fmla="*/ 0 60000 65536"/>
              <a:gd name="T8" fmla="*/ 0 60000 65536"/>
            </a:gdLst>
            <a:ahLst/>
            <a:cxnLst>
              <a:cxn ang="T6">
                <a:pos x="T0" y="T1"/>
              </a:cxn>
              <a:cxn ang="T7">
                <a:pos x="T2" y="T3"/>
              </a:cxn>
              <a:cxn ang="T8">
                <a:pos x="T4" y="T5"/>
              </a:cxn>
            </a:cxnLst>
            <a:rect l="0" t="0" r="r" b="b"/>
            <a:pathLst>
              <a:path w="9645" h="1110">
                <a:moveTo>
                  <a:pt x="0" y="1110"/>
                </a:moveTo>
                <a:cubicBezTo>
                  <a:pt x="953" y="973"/>
                  <a:pt x="4108" y="470"/>
                  <a:pt x="5715" y="285"/>
                </a:cubicBezTo>
                <a:cubicBezTo>
                  <a:pt x="7322" y="100"/>
                  <a:pt x="8826" y="59"/>
                  <a:pt x="9645" y="0"/>
                </a:cubicBezTo>
              </a:path>
            </a:pathLst>
          </a:custGeom>
          <a:noFill/>
          <a:ln w="9525">
            <a:solidFill>
              <a:srgbClr val="FFFFFF"/>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4" name="Freeform 14">
            <a:extLst>
              <a:ext uri="{FF2B5EF4-FFF2-40B4-BE49-F238E27FC236}">
                <a16:creationId xmlns:a16="http://schemas.microsoft.com/office/drawing/2014/main" id="{00000000-0008-0000-0000-00000E000000}"/>
              </a:ext>
            </a:extLst>
          </xdr:cNvPr>
          <xdr:cNvSpPr>
            <a:spLocks/>
          </xdr:cNvSpPr>
        </xdr:nvSpPr>
        <xdr:spPr bwMode="auto">
          <a:xfrm>
            <a:off x="1320" y="13428"/>
            <a:ext cx="1837" cy="642"/>
          </a:xfrm>
          <a:custGeom>
            <a:avLst/>
            <a:gdLst>
              <a:gd name="T0" fmla="*/ 1575 w 1837"/>
              <a:gd name="T1" fmla="*/ 642 h 642"/>
              <a:gd name="T2" fmla="*/ 1815 w 1837"/>
              <a:gd name="T3" fmla="*/ 327 h 642"/>
              <a:gd name="T4" fmla="*/ 1440 w 1837"/>
              <a:gd name="T5" fmla="*/ 87 h 642"/>
              <a:gd name="T6" fmla="*/ 855 w 1837"/>
              <a:gd name="T7" fmla="*/ 12 h 642"/>
              <a:gd name="T8" fmla="*/ 0 w 1837"/>
              <a:gd name="T9" fmla="*/ 12 h 64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837" h="642">
                <a:moveTo>
                  <a:pt x="1575" y="642"/>
                </a:moveTo>
                <a:cubicBezTo>
                  <a:pt x="1615" y="590"/>
                  <a:pt x="1837" y="419"/>
                  <a:pt x="1815" y="327"/>
                </a:cubicBezTo>
                <a:cubicBezTo>
                  <a:pt x="1793" y="235"/>
                  <a:pt x="1600" y="140"/>
                  <a:pt x="1440" y="87"/>
                </a:cubicBezTo>
                <a:cubicBezTo>
                  <a:pt x="1280" y="34"/>
                  <a:pt x="1095" y="24"/>
                  <a:pt x="855" y="12"/>
                </a:cubicBezTo>
                <a:cubicBezTo>
                  <a:pt x="615" y="0"/>
                  <a:pt x="178" y="12"/>
                  <a:pt x="0" y="12"/>
                </a:cubicBezTo>
              </a:path>
            </a:pathLst>
          </a:custGeom>
          <a:noFill/>
          <a:ln w="9525">
            <a:solidFill>
              <a:srgbClr val="FFFFFF"/>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5" name="Freeform 15">
            <a:extLst>
              <a:ext uri="{FF2B5EF4-FFF2-40B4-BE49-F238E27FC236}">
                <a16:creationId xmlns:a16="http://schemas.microsoft.com/office/drawing/2014/main" id="{00000000-0008-0000-0000-00000F000000}"/>
              </a:ext>
            </a:extLst>
          </xdr:cNvPr>
          <xdr:cNvSpPr>
            <a:spLocks/>
          </xdr:cNvSpPr>
        </xdr:nvSpPr>
        <xdr:spPr bwMode="auto">
          <a:xfrm>
            <a:off x="1320" y="12765"/>
            <a:ext cx="300" cy="570"/>
          </a:xfrm>
          <a:custGeom>
            <a:avLst/>
            <a:gdLst>
              <a:gd name="T0" fmla="*/ 0 w 300"/>
              <a:gd name="T1" fmla="*/ 0 h 570"/>
              <a:gd name="T2" fmla="*/ 300 w 300"/>
              <a:gd name="T3" fmla="*/ 210 h 570"/>
              <a:gd name="T4" fmla="*/ 0 w 300"/>
              <a:gd name="T5" fmla="*/ 570 h 570"/>
              <a:gd name="T6" fmla="*/ 0 60000 65536"/>
              <a:gd name="T7" fmla="*/ 0 60000 65536"/>
              <a:gd name="T8" fmla="*/ 0 60000 65536"/>
            </a:gdLst>
            <a:ahLst/>
            <a:cxnLst>
              <a:cxn ang="T6">
                <a:pos x="T0" y="T1"/>
              </a:cxn>
              <a:cxn ang="T7">
                <a:pos x="T2" y="T3"/>
              </a:cxn>
              <a:cxn ang="T8">
                <a:pos x="T4" y="T5"/>
              </a:cxn>
            </a:cxnLst>
            <a:rect l="0" t="0" r="r" b="b"/>
            <a:pathLst>
              <a:path w="300" h="570">
                <a:moveTo>
                  <a:pt x="0" y="0"/>
                </a:moveTo>
                <a:cubicBezTo>
                  <a:pt x="50" y="35"/>
                  <a:pt x="300" y="115"/>
                  <a:pt x="300" y="210"/>
                </a:cubicBezTo>
                <a:cubicBezTo>
                  <a:pt x="300" y="305"/>
                  <a:pt x="62" y="495"/>
                  <a:pt x="0" y="570"/>
                </a:cubicBezTo>
              </a:path>
            </a:pathLst>
          </a:custGeom>
          <a:noFill/>
          <a:ln w="9525">
            <a:solidFill>
              <a:srgbClr val="FFFFFF"/>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6" name="Freeform 16">
            <a:extLst>
              <a:ext uri="{FF2B5EF4-FFF2-40B4-BE49-F238E27FC236}">
                <a16:creationId xmlns:a16="http://schemas.microsoft.com/office/drawing/2014/main" id="{00000000-0008-0000-0000-000010000000}"/>
              </a:ext>
            </a:extLst>
          </xdr:cNvPr>
          <xdr:cNvSpPr>
            <a:spLocks/>
          </xdr:cNvSpPr>
        </xdr:nvSpPr>
        <xdr:spPr bwMode="auto">
          <a:xfrm>
            <a:off x="1320" y="13155"/>
            <a:ext cx="345" cy="630"/>
          </a:xfrm>
          <a:custGeom>
            <a:avLst/>
            <a:gdLst>
              <a:gd name="T0" fmla="*/ 0 w 345"/>
              <a:gd name="T1" fmla="*/ 630 h 630"/>
              <a:gd name="T2" fmla="*/ 345 w 345"/>
              <a:gd name="T3" fmla="*/ 240 h 630"/>
              <a:gd name="T4" fmla="*/ 0 w 345"/>
              <a:gd name="T5" fmla="*/ 0 h 630"/>
              <a:gd name="T6" fmla="*/ 0 60000 65536"/>
              <a:gd name="T7" fmla="*/ 0 60000 65536"/>
              <a:gd name="T8" fmla="*/ 0 60000 65536"/>
            </a:gdLst>
            <a:ahLst/>
            <a:cxnLst>
              <a:cxn ang="T6">
                <a:pos x="T0" y="T1"/>
              </a:cxn>
              <a:cxn ang="T7">
                <a:pos x="T2" y="T3"/>
              </a:cxn>
              <a:cxn ang="T8">
                <a:pos x="T4" y="T5"/>
              </a:cxn>
            </a:cxnLst>
            <a:rect l="0" t="0" r="r" b="b"/>
            <a:pathLst>
              <a:path w="345" h="630">
                <a:moveTo>
                  <a:pt x="0" y="630"/>
                </a:moveTo>
                <a:cubicBezTo>
                  <a:pt x="58" y="565"/>
                  <a:pt x="345" y="345"/>
                  <a:pt x="345" y="240"/>
                </a:cubicBezTo>
                <a:cubicBezTo>
                  <a:pt x="345" y="135"/>
                  <a:pt x="72" y="50"/>
                  <a:pt x="0" y="0"/>
                </a:cubicBezTo>
              </a:path>
            </a:pathLst>
          </a:custGeom>
          <a:noFill/>
          <a:ln w="9525">
            <a:solidFill>
              <a:srgbClr val="FFFFFF"/>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xdr:col>
      <xdr:colOff>57150</xdr:colOff>
      <xdr:row>1</xdr:row>
      <xdr:rowOff>0</xdr:rowOff>
    </xdr:from>
    <xdr:to>
      <xdr:col>3</xdr:col>
      <xdr:colOff>495300</xdr:colOff>
      <xdr:row>11</xdr:row>
      <xdr:rowOff>19050</xdr:rowOff>
    </xdr:to>
    <xdr:pic>
      <xdr:nvPicPr>
        <xdr:cNvPr id="17" name="Picture 19">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61925"/>
          <a:ext cx="1600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0</xdr:rowOff>
    </xdr:from>
    <xdr:to>
      <xdr:col>6</xdr:col>
      <xdr:colOff>695325</xdr:colOff>
      <xdr:row>11</xdr:row>
      <xdr:rowOff>19050</xdr:rowOff>
    </xdr:to>
    <xdr:pic>
      <xdr:nvPicPr>
        <xdr:cNvPr id="18" name="Picture 20">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5650" y="161925"/>
          <a:ext cx="1600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14</xdr:row>
      <xdr:rowOff>85725</xdr:rowOff>
    </xdr:from>
    <xdr:to>
      <xdr:col>7</xdr:col>
      <xdr:colOff>381001</xdr:colOff>
      <xdr:row>51</xdr:row>
      <xdr:rowOff>114300</xdr:rowOff>
    </xdr:to>
    <xdr:sp macro="" textlink="">
      <xdr:nvSpPr>
        <xdr:cNvPr id="19" name="Text Box 21">
          <a:extLst>
            <a:ext uri="{FF2B5EF4-FFF2-40B4-BE49-F238E27FC236}">
              <a16:creationId xmlns:a16="http://schemas.microsoft.com/office/drawing/2014/main" id="{00000000-0008-0000-0000-000013000000}"/>
            </a:ext>
          </a:extLst>
        </xdr:cNvPr>
        <xdr:cNvSpPr txBox="1">
          <a:spLocks noChangeArrowheads="1"/>
        </xdr:cNvSpPr>
      </xdr:nvSpPr>
      <xdr:spPr bwMode="auto">
        <a:xfrm>
          <a:off x="914400" y="2352675"/>
          <a:ext cx="4629151" cy="601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22860" rIns="27432" bIns="0" anchor="t" upright="1"/>
        <a:lstStyle/>
        <a:p>
          <a:pPr algn="r" rtl="0">
            <a:defRPr sz="1000"/>
          </a:pPr>
          <a:endParaRPr lang="en-AU" sz="1100" b="0" i="0" u="none" strike="noStrike" baseline="0">
            <a:solidFill>
              <a:srgbClr val="FFFFFF"/>
            </a:solidFill>
            <a:latin typeface="Arial"/>
            <a:cs typeface="Arial"/>
          </a:endParaRPr>
        </a:p>
        <a:p>
          <a:pPr algn="r" rtl="0">
            <a:defRPr sz="1000"/>
          </a:pPr>
          <a:r>
            <a:rPr lang="en-AU" sz="2800" b="0" i="0" u="none" strike="noStrike" baseline="0">
              <a:solidFill>
                <a:srgbClr val="FFFFFF"/>
              </a:solidFill>
              <a:latin typeface="Arial"/>
              <a:cs typeface="Arial"/>
            </a:rPr>
            <a:t>Local Government</a:t>
          </a:r>
        </a:p>
        <a:p>
          <a:pPr algn="r" rtl="0">
            <a:defRPr sz="1000"/>
          </a:pPr>
          <a:r>
            <a:rPr lang="en-AU" sz="2800" b="0" i="0" u="none" strike="noStrike" baseline="0">
              <a:solidFill>
                <a:srgbClr val="FFFFFF"/>
              </a:solidFill>
              <a:latin typeface="Arial"/>
              <a:cs typeface="Arial"/>
            </a:rPr>
            <a:t>Model Financial Report 2024</a:t>
          </a: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endParaRPr lang="en-AU" sz="1100" b="0" i="0" u="none" strike="noStrike" baseline="0">
            <a:solidFill>
              <a:srgbClr val="FFFFFF"/>
            </a:solidFill>
            <a:latin typeface="Arial"/>
            <a:cs typeface="Arial"/>
          </a:endParaRPr>
        </a:p>
        <a:p>
          <a:pPr algn="r" rtl="0">
            <a:defRPr sz="1000"/>
          </a:pPr>
          <a:r>
            <a:rPr lang="en-AU" sz="1100" b="0" i="0" u="none" strike="noStrike" baseline="0">
              <a:solidFill>
                <a:srgbClr val="FFFFFF"/>
              </a:solidFill>
              <a:latin typeface="Arial"/>
              <a:cs typeface="Arial"/>
            </a:rPr>
            <a:t>Tasmanian Audit Office</a:t>
          </a:r>
        </a:p>
        <a:p>
          <a:pPr algn="r" rtl="0">
            <a:defRPr sz="1000"/>
          </a:pPr>
          <a:r>
            <a:rPr lang="en-AU" sz="1200" b="1" i="0" u="none" strike="noStrike" baseline="0">
              <a:solidFill>
                <a:srgbClr val="FFFFFF"/>
              </a:solidFill>
              <a:latin typeface="Arial"/>
              <a:cs typeface="Arial"/>
            </a:rPr>
            <a:t>	June 2024</a:t>
          </a:r>
          <a:endParaRPr lang="en-AU"/>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77932</xdr:colOff>
      <xdr:row>366</xdr:row>
      <xdr:rowOff>25976</xdr:rowOff>
    </xdr:from>
    <xdr:to>
      <xdr:col>14</xdr:col>
      <xdr:colOff>362412</xdr:colOff>
      <xdr:row>367</xdr:row>
      <xdr:rowOff>138546</xdr:rowOff>
    </xdr:to>
    <xdr:sp macro="" textlink="">
      <xdr:nvSpPr>
        <xdr:cNvPr id="2" name="Right Brace 1">
          <a:extLst>
            <a:ext uri="{FF2B5EF4-FFF2-40B4-BE49-F238E27FC236}">
              <a16:creationId xmlns:a16="http://schemas.microsoft.com/office/drawing/2014/main" id="{49736298-1A2F-F153-6803-DE2991412CD7}"/>
            </a:ext>
          </a:extLst>
        </xdr:cNvPr>
        <xdr:cNvSpPr/>
      </xdr:nvSpPr>
      <xdr:spPr>
        <a:xfrm>
          <a:off x="8191500" y="82174771"/>
          <a:ext cx="284480" cy="1143002"/>
        </a:xfrm>
        <a:prstGeom prst="rightBrace">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14</xdr:col>
      <xdr:colOff>69273</xdr:colOff>
      <xdr:row>363</xdr:row>
      <xdr:rowOff>381000</xdr:rowOff>
    </xdr:from>
    <xdr:to>
      <xdr:col>14</xdr:col>
      <xdr:colOff>353753</xdr:colOff>
      <xdr:row>365</xdr:row>
      <xdr:rowOff>162214</xdr:rowOff>
    </xdr:to>
    <xdr:sp macro="" textlink="">
      <xdr:nvSpPr>
        <xdr:cNvPr id="3" name="Right Brace 2">
          <a:extLst>
            <a:ext uri="{FF2B5EF4-FFF2-40B4-BE49-F238E27FC236}">
              <a16:creationId xmlns:a16="http://schemas.microsoft.com/office/drawing/2014/main" id="{E54FD8FD-20B5-CCE9-41CA-1EE125D8ED61}"/>
            </a:ext>
          </a:extLst>
        </xdr:cNvPr>
        <xdr:cNvSpPr/>
      </xdr:nvSpPr>
      <xdr:spPr>
        <a:xfrm>
          <a:off x="8182841" y="81525341"/>
          <a:ext cx="284480" cy="577850"/>
        </a:xfrm>
        <a:prstGeom prst="rightBrace">
          <a:avLst/>
        </a:prstGeom>
        <a:ln>
          <a:solidFill>
            <a:srgbClr val="FF0000"/>
          </a:solidFill>
        </a:ln>
      </xdr:spPr>
      <xdr:style>
        <a:lnRef idx="2">
          <a:schemeClr val="accent2"/>
        </a:lnRef>
        <a:fillRef idx="0">
          <a:schemeClr val="accent2"/>
        </a:fillRef>
        <a:effectRef idx="1">
          <a:schemeClr val="accent2"/>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11</xdr:col>
      <xdr:colOff>171450</xdr:colOff>
      <xdr:row>135</xdr:row>
      <xdr:rowOff>112013</xdr:rowOff>
    </xdr:from>
    <xdr:ext cx="5819775" cy="2783588"/>
    <xdr:sp macro="" textlink="">
      <xdr:nvSpPr>
        <xdr:cNvPr id="2" name="Rectangle 1">
          <a:extLst>
            <a:ext uri="{FF2B5EF4-FFF2-40B4-BE49-F238E27FC236}">
              <a16:creationId xmlns:a16="http://schemas.microsoft.com/office/drawing/2014/main" id="{032198C9-E54D-FB4C-416C-A0306AB87FC2}"/>
            </a:ext>
          </a:extLst>
        </xdr:cNvPr>
        <xdr:cNvSpPr/>
      </xdr:nvSpPr>
      <xdr:spPr>
        <a:xfrm>
          <a:off x="8791575" y="29991938"/>
          <a:ext cx="5819775" cy="2783588"/>
        </a:xfrm>
        <a:prstGeom prst="rect">
          <a:avLst/>
        </a:prstGeom>
        <a:noFill/>
      </xdr:spPr>
      <xdr:txBody>
        <a:bodyPr wrap="square" lIns="91440" tIns="45720" rIns="91440" bIns="45720">
          <a:noAutofit/>
        </a:bodyPr>
        <a:lstStyle/>
        <a:p>
          <a:pPr algn="ctr"/>
          <a:r>
            <a:rPr lang="en-US" sz="5400" b="1" cap="none" spc="0">
              <a:ln w="22225">
                <a:solidFill>
                  <a:schemeClr val="accent2"/>
                </a:solidFill>
                <a:prstDash val="solid"/>
              </a:ln>
              <a:solidFill>
                <a:srgbClr val="FFFF00"/>
              </a:solidFill>
              <a:effectLst/>
            </a:rPr>
            <a:t>Superannuation</a:t>
          </a:r>
          <a:r>
            <a:rPr lang="en-US" sz="5400" b="1" cap="none" spc="0" baseline="0">
              <a:ln w="22225">
                <a:solidFill>
                  <a:schemeClr val="accent2"/>
                </a:solidFill>
                <a:prstDash val="solid"/>
              </a:ln>
              <a:solidFill>
                <a:srgbClr val="FFFF00"/>
              </a:solidFill>
              <a:effectLst/>
            </a:rPr>
            <a:t> Note updated as highlighted.</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161925</xdr:rowOff>
    </xdr:from>
    <xdr:to>
      <xdr:col>4</xdr:col>
      <xdr:colOff>1133475</xdr:colOff>
      <xdr:row>6</xdr:row>
      <xdr:rowOff>85725</xdr:rowOff>
    </xdr:to>
    <xdr:sp macro="" textlink="">
      <xdr:nvSpPr>
        <xdr:cNvPr id="1025" name="Rectangle 1">
          <a:extLst>
            <a:ext uri="{FF2B5EF4-FFF2-40B4-BE49-F238E27FC236}">
              <a16:creationId xmlns:a16="http://schemas.microsoft.com/office/drawing/2014/main" id="{00000000-0008-0000-0100-000001040000}"/>
            </a:ext>
          </a:extLst>
        </xdr:cNvPr>
        <xdr:cNvSpPr>
          <a:spLocks noChangeArrowheads="1"/>
        </xdr:cNvSpPr>
      </xdr:nvSpPr>
      <xdr:spPr bwMode="auto">
        <a:xfrm>
          <a:off x="0" y="161925"/>
          <a:ext cx="6600825" cy="1009650"/>
        </a:xfrm>
        <a:prstGeom prst="rect">
          <a:avLst/>
        </a:prstGeom>
        <a:solidFill>
          <a:srgbClr val="FFFF00"/>
        </a:solidFill>
        <a:ln w="9525">
          <a:solidFill>
            <a:srgbClr val="000000"/>
          </a:solidFill>
          <a:miter lim="800000"/>
          <a:headEnd/>
          <a:tailEnd/>
        </a:ln>
      </xdr:spPr>
      <xdr:txBody>
        <a:bodyPr vertOverflow="clip" wrap="square" lIns="27432" tIns="27432" rIns="0" bIns="0" anchor="t" upright="1"/>
        <a:lstStyle/>
        <a:p>
          <a:pPr algn="l" rtl="0">
            <a:defRPr sz="1000"/>
          </a:pPr>
          <a:endParaRPr lang="en-AU" sz="1100" b="1" i="0" u="none" strike="noStrike" baseline="0">
            <a:solidFill>
              <a:srgbClr val="000000"/>
            </a:solidFill>
            <a:latin typeface="Arial"/>
            <a:cs typeface="Arial"/>
          </a:endParaRPr>
        </a:p>
        <a:p>
          <a:pPr algn="l" rtl="0">
            <a:defRPr sz="1000"/>
          </a:pPr>
          <a:r>
            <a:rPr lang="en-AU" sz="1100" b="1" i="0" u="none" strike="noStrike" baseline="0">
              <a:solidFill>
                <a:srgbClr val="000000"/>
              </a:solidFill>
              <a:latin typeface="Arial"/>
              <a:cs typeface="Arial"/>
            </a:rPr>
            <a:t> </a:t>
          </a:r>
          <a:r>
            <a:rPr lang="en-AU" sz="1600" b="1" i="0" u="none" strike="noStrike" baseline="0">
              <a:solidFill>
                <a:srgbClr val="000000"/>
              </a:solidFill>
              <a:latin typeface="Arial"/>
              <a:cs typeface="Arial"/>
            </a:rPr>
            <a:t>   Instructions:</a:t>
          </a:r>
          <a:endParaRPr lang="en-AU" sz="1600" b="0" i="0" u="none" strike="noStrike" baseline="0">
            <a:solidFill>
              <a:srgbClr val="000000"/>
            </a:solidFill>
            <a:latin typeface="Arial"/>
            <a:cs typeface="Arial"/>
          </a:endParaRPr>
        </a:p>
        <a:p>
          <a:pPr algn="l" rtl="0">
            <a:defRPr sz="1000"/>
          </a:pPr>
          <a:endParaRPr lang="en-AU" sz="1100" b="0" i="0" u="none" strike="noStrike" baseline="0">
            <a:solidFill>
              <a:srgbClr val="000000"/>
            </a:solidFill>
            <a:latin typeface="Arial"/>
            <a:cs typeface="Arial"/>
          </a:endParaRPr>
        </a:p>
        <a:p>
          <a:pPr algn="l" rtl="0">
            <a:defRPr sz="1000"/>
          </a:pPr>
          <a:r>
            <a:rPr lang="en-AU" sz="1100" b="1" i="0" u="none" strike="noStrike" baseline="0">
              <a:solidFill>
                <a:srgbClr val="000000"/>
              </a:solidFill>
              <a:latin typeface="Arial"/>
              <a:cs typeface="Arial"/>
            </a:rPr>
            <a:t>Type in information indicated into the cell provided and this will populate the relevant linked cells throughout the Financial Report. </a:t>
          </a:r>
          <a:endParaRPr lang="en-AU"/>
        </a:p>
      </xdr:txBody>
    </xdr:sp>
    <xdr:clientData/>
  </xdr:twoCellAnchor>
  <xdr:twoCellAnchor>
    <xdr:from>
      <xdr:col>5</xdr:col>
      <xdr:colOff>295275</xdr:colOff>
      <xdr:row>0</xdr:row>
      <xdr:rowOff>47625</xdr:rowOff>
    </xdr:from>
    <xdr:to>
      <xdr:col>7</xdr:col>
      <xdr:colOff>314325</xdr:colOff>
      <xdr:row>2</xdr:row>
      <xdr:rowOff>142875</xdr:rowOff>
    </xdr:to>
    <xdr:sp macro="" textlink="">
      <xdr:nvSpPr>
        <xdr:cNvPr id="1028" name="Rectangle 4">
          <a:hlinkClick xmlns:r="http://schemas.openxmlformats.org/officeDocument/2006/relationships" r:id="rId1"/>
          <a:extLst>
            <a:ext uri="{FF2B5EF4-FFF2-40B4-BE49-F238E27FC236}">
              <a16:creationId xmlns:a16="http://schemas.microsoft.com/office/drawing/2014/main" id="{00000000-0008-0000-0100-000004040000}"/>
            </a:ext>
          </a:extLst>
        </xdr:cNvPr>
        <xdr:cNvSpPr>
          <a:spLocks noChangeArrowheads="1"/>
        </xdr:cNvSpPr>
      </xdr:nvSpPr>
      <xdr:spPr bwMode="auto">
        <a:xfrm>
          <a:off x="6905625" y="47625"/>
          <a:ext cx="1390650" cy="457200"/>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twoCellAnchor editAs="oneCell">
    <xdr:from>
      <xdr:col>3</xdr:col>
      <xdr:colOff>914400</xdr:colOff>
      <xdr:row>35</xdr:row>
      <xdr:rowOff>219075</xdr:rowOff>
    </xdr:from>
    <xdr:to>
      <xdr:col>4</xdr:col>
      <xdr:colOff>504824</xdr:colOff>
      <xdr:row>37</xdr:row>
      <xdr:rowOff>114299</xdr:rowOff>
    </xdr:to>
    <xdr:pic>
      <xdr:nvPicPr>
        <xdr:cNvPr id="2" name="Picture 1" descr="Premium Vector | Warning sign. the exclamation point is highlighted on the  yellow triangle. caution and warning.">
          <a:extLst>
            <a:ext uri="{FF2B5EF4-FFF2-40B4-BE49-F238E27FC236}">
              <a16:creationId xmlns:a16="http://schemas.microsoft.com/office/drawing/2014/main" id="{779E8605-081C-B8CC-044A-990E60D555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91300" y="7267575"/>
          <a:ext cx="552449" cy="552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0</xdr:row>
      <xdr:rowOff>47625</xdr:rowOff>
    </xdr:from>
    <xdr:to>
      <xdr:col>12</xdr:col>
      <xdr:colOff>47625</xdr:colOff>
      <xdr:row>2</xdr:row>
      <xdr:rowOff>85725</xdr:rowOff>
    </xdr:to>
    <xdr:sp macro="" textlink="">
      <xdr:nvSpPr>
        <xdr:cNvPr id="12290" name="Rectangle 2">
          <a:hlinkClick xmlns:r="http://schemas.openxmlformats.org/officeDocument/2006/relationships" r:id="rId1"/>
          <a:extLst>
            <a:ext uri="{FF2B5EF4-FFF2-40B4-BE49-F238E27FC236}">
              <a16:creationId xmlns:a16="http://schemas.microsoft.com/office/drawing/2014/main" id="{00000000-0008-0000-0500-000002300000}"/>
            </a:ext>
          </a:extLst>
        </xdr:cNvPr>
        <xdr:cNvSpPr>
          <a:spLocks noChangeArrowheads="1"/>
        </xdr:cNvSpPr>
      </xdr:nvSpPr>
      <xdr:spPr bwMode="auto">
        <a:xfrm>
          <a:off x="9220200" y="47625"/>
          <a:ext cx="1390650" cy="457200"/>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102704</xdr:colOff>
      <xdr:row>0</xdr:row>
      <xdr:rowOff>41413</xdr:rowOff>
    </xdr:from>
    <xdr:to>
      <xdr:col>7</xdr:col>
      <xdr:colOff>1606826</xdr:colOff>
      <xdr:row>2</xdr:row>
      <xdr:rowOff>79513</xdr:rowOff>
    </xdr:to>
    <xdr:sp macro="" textlink="">
      <xdr:nvSpPr>
        <xdr:cNvPr id="13314" name="Rectangle 2">
          <a:hlinkClick xmlns:r="http://schemas.openxmlformats.org/officeDocument/2006/relationships" r:id="rId1"/>
          <a:extLst>
            <a:ext uri="{FF2B5EF4-FFF2-40B4-BE49-F238E27FC236}">
              <a16:creationId xmlns:a16="http://schemas.microsoft.com/office/drawing/2014/main" id="{00000000-0008-0000-0A00-000002340000}"/>
            </a:ext>
          </a:extLst>
        </xdr:cNvPr>
        <xdr:cNvSpPr>
          <a:spLocks noChangeArrowheads="1"/>
        </xdr:cNvSpPr>
      </xdr:nvSpPr>
      <xdr:spPr bwMode="auto">
        <a:xfrm>
          <a:off x="9271552" y="41413"/>
          <a:ext cx="1959665" cy="452230"/>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161925</xdr:colOff>
      <xdr:row>1</xdr:row>
      <xdr:rowOff>0</xdr:rowOff>
    </xdr:from>
    <xdr:to>
      <xdr:col>11</xdr:col>
      <xdr:colOff>180975</xdr:colOff>
      <xdr:row>2</xdr:row>
      <xdr:rowOff>0</xdr:rowOff>
    </xdr:to>
    <xdr:sp macro="" textlink="">
      <xdr:nvSpPr>
        <xdr:cNvPr id="8196" name="Rectangle 4">
          <a:hlinkClick xmlns:r="http://schemas.openxmlformats.org/officeDocument/2006/relationships" r:id="rId1"/>
          <a:extLst>
            <a:ext uri="{FF2B5EF4-FFF2-40B4-BE49-F238E27FC236}">
              <a16:creationId xmlns:a16="http://schemas.microsoft.com/office/drawing/2014/main" id="{00000000-0008-0000-0600-000004200000}"/>
            </a:ext>
          </a:extLst>
        </xdr:cNvPr>
        <xdr:cNvSpPr>
          <a:spLocks noChangeArrowheads="1"/>
        </xdr:cNvSpPr>
      </xdr:nvSpPr>
      <xdr:spPr bwMode="auto">
        <a:xfrm>
          <a:off x="9210675"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161925</xdr:colOff>
      <xdr:row>0</xdr:row>
      <xdr:rowOff>0</xdr:rowOff>
    </xdr:from>
    <xdr:to>
      <xdr:col>9</xdr:col>
      <xdr:colOff>180975</xdr:colOff>
      <xdr:row>1</xdr:row>
      <xdr:rowOff>200025</xdr:rowOff>
    </xdr:to>
    <xdr:sp macro="" textlink="">
      <xdr:nvSpPr>
        <xdr:cNvPr id="14338" name="Rectangle 2">
          <a:hlinkClick xmlns:r="http://schemas.openxmlformats.org/officeDocument/2006/relationships" r:id="rId1"/>
          <a:extLst>
            <a:ext uri="{FF2B5EF4-FFF2-40B4-BE49-F238E27FC236}">
              <a16:creationId xmlns:a16="http://schemas.microsoft.com/office/drawing/2014/main" id="{00000000-0008-0000-0700-000002380000}"/>
            </a:ext>
          </a:extLst>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171450</xdr:colOff>
      <xdr:row>0</xdr:row>
      <xdr:rowOff>0</xdr:rowOff>
    </xdr:from>
    <xdr:to>
      <xdr:col>9</xdr:col>
      <xdr:colOff>190500</xdr:colOff>
      <xdr:row>1</xdr:row>
      <xdr:rowOff>200025</xdr:rowOff>
    </xdr:to>
    <xdr:sp macro="" textlink="">
      <xdr:nvSpPr>
        <xdr:cNvPr id="15362" name="Rectangle 2">
          <a:hlinkClick xmlns:r="http://schemas.openxmlformats.org/officeDocument/2006/relationships" r:id="rId1"/>
          <a:extLst>
            <a:ext uri="{FF2B5EF4-FFF2-40B4-BE49-F238E27FC236}">
              <a16:creationId xmlns:a16="http://schemas.microsoft.com/office/drawing/2014/main" id="{00000000-0008-0000-0800-0000023C0000}"/>
            </a:ext>
          </a:extLst>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161925</xdr:colOff>
      <xdr:row>0</xdr:row>
      <xdr:rowOff>0</xdr:rowOff>
    </xdr:from>
    <xdr:to>
      <xdr:col>14</xdr:col>
      <xdr:colOff>180975</xdr:colOff>
      <xdr:row>1</xdr:row>
      <xdr:rowOff>200025</xdr:rowOff>
    </xdr:to>
    <xdr:sp macro="" textlink="">
      <xdr:nvSpPr>
        <xdr:cNvPr id="5126" name="Rectangle 6">
          <a:hlinkClick xmlns:r="http://schemas.openxmlformats.org/officeDocument/2006/relationships" r:id="rId1"/>
          <a:extLst>
            <a:ext uri="{FF2B5EF4-FFF2-40B4-BE49-F238E27FC236}">
              <a16:creationId xmlns:a16="http://schemas.microsoft.com/office/drawing/2014/main" id="{00000000-0008-0000-0900-000006140000}"/>
            </a:ext>
          </a:extLst>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704850</xdr:colOff>
      <xdr:row>0</xdr:row>
      <xdr:rowOff>0</xdr:rowOff>
    </xdr:from>
    <xdr:to>
      <xdr:col>7</xdr:col>
      <xdr:colOff>704850</xdr:colOff>
      <xdr:row>1</xdr:row>
      <xdr:rowOff>180975</xdr:rowOff>
    </xdr:to>
    <xdr:sp macro="" textlink="">
      <xdr:nvSpPr>
        <xdr:cNvPr id="10264" name="Rectangle 24">
          <a:hlinkClick xmlns:r="http://schemas.openxmlformats.org/officeDocument/2006/relationships" r:id="rId1"/>
          <a:extLst>
            <a:ext uri="{FF2B5EF4-FFF2-40B4-BE49-F238E27FC236}">
              <a16:creationId xmlns:a16="http://schemas.microsoft.com/office/drawing/2014/main" id="{00000000-0008-0000-0B00-000018280000}"/>
            </a:ext>
          </a:extLst>
        </xdr:cNvPr>
        <xdr:cNvSpPr>
          <a:spLocks noChangeArrowheads="1"/>
        </xdr:cNvSpPr>
      </xdr:nvSpPr>
      <xdr:spPr bwMode="auto">
        <a:xfrm>
          <a:off x="9353550" y="0"/>
          <a:ext cx="1390650" cy="409575"/>
        </a:xfrm>
        <a:prstGeom prst="rect">
          <a:avLst/>
        </a:prstGeom>
        <a:solidFill>
          <a:srgbClr val="0000FF"/>
        </a:solidFill>
        <a:ln w="9525">
          <a:solidFill>
            <a:srgbClr val="FFCC00"/>
          </a:solidFill>
          <a:miter lim="800000"/>
          <a:headEnd/>
          <a:tailEnd/>
        </a:ln>
        <a:effectLst/>
      </xdr:spPr>
      <xdr:txBody>
        <a:bodyPr vertOverflow="clip" wrap="square" lIns="27432" tIns="32004" rIns="27432" bIns="32004" anchor="ctr" upright="1"/>
        <a:lstStyle/>
        <a:p>
          <a:pPr algn="ctr" rtl="0">
            <a:defRPr sz="1000"/>
          </a:pPr>
          <a:r>
            <a:rPr lang="en-US" sz="1150" b="1" i="0" strike="noStrike">
              <a:solidFill>
                <a:srgbClr val="FFFF00"/>
              </a:solidFill>
              <a:latin typeface="Arial Narrow"/>
            </a:rPr>
            <a:t>Go to: Printing Instructions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treasury.tas.gov.au/state-grants-commission" TargetMode="External"/><Relationship Id="rId1" Type="http://schemas.openxmlformats.org/officeDocument/2006/relationships/printerSettings" Target="../printerSettings/printerSettings2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audit.tas.gov.au/wp-content/uploads/AASB-124-Related-Party-Disclosures-Your-Questions-Answered.docx"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audit.tas.gov.au/wp-content/uploads/Guidance-revised-to-local-government-councils-on-calculating-underlying-result.pdf" TargetMode="External"/><Relationship Id="rId1" Type="http://schemas.openxmlformats.org/officeDocument/2006/relationships/hyperlink" Target="https://www.legislation.tas.gov.au/view/html/inforce/current/sr-2014-036?query=((PrintType%3D%22act.reprint%22+AND+Amending%3C%3E%22pure%22+AND+PitValid%3D%40pointInTime(20230420000000))+OR+(PrintType%3D%22act.reprint%22+AND+Amending%3D%22pure%22+AND+PitValid%3D%40pointInTime(20230420000000))+OR+(PrintType%3D%22reprint%22+AND+Amending%3C%3E%22pure%22+AND+PitValid%3D%40pointInTime(20230420000000))+OR+(PrintType%3D%22reprint%22+AND+Amending%3D%22pure%22+AND+PitValid%3D%40pointInTime(20230420000000)))+AND+Title%3D(%22local%22+AND+%22government%22+AND+%22order%22+AND+%222014%22)&amp;dQuery=Document+Types%3D%22%3Cspan+class%3D%27dq-highlight%27%3EActs%3C%2Fspan%3E%2C+%3Cspan+class%3D%27dq-highlight%27%3EAmending+Acts%3C%2Fspan%3E%2C+%3Cspan+class%3D%27dq-highlight%27%3ESRs%3C%2Fspan%3E%2C+%3Cspan+class%3D%27dq-highlight%27%3EAmending+SRs%3C%2Fspan%3E%22%2C+Search+In%3D%22%3Cspan+class%3D%27dq-highlight%27%3ETitle%3C%2Fspan%3E%22%2C+All+Words%3D%22%3Cspan+class%3D%27dq-highlight%27%3Elocal+government+order+2014%3C%2Fspan%3E%22%2C+Point+In+Time%3D%22%3Cspan+class%3D%27dq-highlight%27%3E20%2F04%2F2023%3C%2Fspan%3E%22"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mailto:admin@audit.tas.gov.au" TargetMode="External"/><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admin@audit.tas.gov.au"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udit.tas.gov.au/resource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audit.tas.gov.au/wp-content/uploads/Financial-Statements-submission-checklist-for-preparers-010718.docx" TargetMode="External"/><Relationship Id="rId2" Type="http://schemas.openxmlformats.org/officeDocument/2006/relationships/hyperlink" Target="https://www.audit.tas.gov.au/wp-content/uploads/MANAGEMENT-CERTIFICATION-TO-BE-PROVIDED-BY-THOSE-RESPONSIBLE-FOR-FINANCIAL-REPORTING-AT-THE-TIME-OF-SUBMISSION-OF-FINANCIAL-STATEMENTS.docx" TargetMode="External"/><Relationship Id="rId1" Type="http://schemas.openxmlformats.org/officeDocument/2006/relationships/hyperlink" Target="https://www.audit.tas.gov.au/wp-content/uploads/MANAGEMENT-CERTIFICATION-TO-BE-PROVIDED-BY-THOSE-RESPONSIBLE-FOR-FINANCIAL-REPORTING-AT-THE-TIME-OF-SUBMISSION-OF-FINANCIAL-STATEMENTS.pdf" TargetMode="External"/><Relationship Id="rId4"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9"/>
  <sheetViews>
    <sheetView showGridLines="0" view="pageBreakPreview" zoomScale="85" zoomScaleNormal="115" zoomScaleSheetLayoutView="85" workbookViewId="0"/>
  </sheetViews>
  <sheetFormatPr defaultColWidth="9" defaultRowHeight="13.2" x14ac:dyDescent="0.25"/>
  <cols>
    <col min="1" max="2" width="2.59765625" style="682" customWidth="1"/>
    <col min="3" max="5" width="12.59765625" style="682" customWidth="1"/>
    <col min="6" max="6" width="12" style="682" customWidth="1"/>
    <col min="7" max="8" width="12.59765625" style="682" customWidth="1"/>
    <col min="9" max="10" width="2.59765625" style="682" customWidth="1"/>
    <col min="11" max="16384" width="9" style="682"/>
  </cols>
  <sheetData>
    <row r="1" spans="1:10" x14ac:dyDescent="0.25">
      <c r="A1" s="679"/>
      <c r="B1" s="680"/>
      <c r="C1" s="680"/>
      <c r="D1" s="680"/>
      <c r="E1" s="680"/>
      <c r="F1" s="680"/>
      <c r="G1" s="680"/>
      <c r="H1" s="680"/>
      <c r="I1" s="680"/>
      <c r="J1" s="681"/>
    </row>
    <row r="2" spans="1:10" x14ac:dyDescent="0.25">
      <c r="A2" s="683"/>
      <c r="J2" s="684"/>
    </row>
    <row r="3" spans="1:10" x14ac:dyDescent="0.25">
      <c r="A3" s="683"/>
      <c r="J3" s="684"/>
    </row>
    <row r="4" spans="1:10" x14ac:dyDescent="0.25">
      <c r="A4" s="683"/>
      <c r="J4" s="684"/>
    </row>
    <row r="5" spans="1:10" x14ac:dyDescent="0.25">
      <c r="A5" s="683"/>
      <c r="J5" s="684"/>
    </row>
    <row r="6" spans="1:10" x14ac:dyDescent="0.25">
      <c r="A6" s="683"/>
      <c r="J6" s="684"/>
    </row>
    <row r="7" spans="1:10" x14ac:dyDescent="0.25">
      <c r="A7" s="683"/>
      <c r="J7" s="684"/>
    </row>
    <row r="8" spans="1:10" x14ac:dyDescent="0.25">
      <c r="A8" s="683"/>
      <c r="J8" s="684"/>
    </row>
    <row r="9" spans="1:10" x14ac:dyDescent="0.25">
      <c r="A9" s="683"/>
      <c r="J9" s="684"/>
    </row>
    <row r="10" spans="1:10" x14ac:dyDescent="0.25">
      <c r="A10" s="683"/>
      <c r="J10" s="684"/>
    </row>
    <row r="11" spans="1:10" x14ac:dyDescent="0.25">
      <c r="A11" s="683"/>
      <c r="J11" s="684"/>
    </row>
    <row r="12" spans="1:10" x14ac:dyDescent="0.25">
      <c r="A12" s="683"/>
      <c r="J12" s="684"/>
    </row>
    <row r="13" spans="1:10" x14ac:dyDescent="0.25">
      <c r="A13" s="683"/>
      <c r="J13" s="684"/>
    </row>
    <row r="14" spans="1:10" x14ac:dyDescent="0.25">
      <c r="A14" s="683"/>
      <c r="J14" s="684"/>
    </row>
    <row r="15" spans="1:10" x14ac:dyDescent="0.25">
      <c r="A15" s="683"/>
      <c r="J15" s="684"/>
    </row>
    <row r="16" spans="1:10" x14ac:dyDescent="0.25">
      <c r="A16" s="683"/>
      <c r="J16" s="684"/>
    </row>
    <row r="17" spans="1:10" x14ac:dyDescent="0.25">
      <c r="A17" s="683"/>
      <c r="J17" s="684"/>
    </row>
    <row r="18" spans="1:10" x14ac:dyDescent="0.25">
      <c r="A18" s="683"/>
      <c r="B18" s="685"/>
      <c r="C18" s="685"/>
      <c r="D18" s="685"/>
      <c r="J18" s="684"/>
    </row>
    <row r="19" spans="1:10" x14ac:dyDescent="0.25">
      <c r="A19" s="683"/>
      <c r="B19" s="685"/>
      <c r="C19" s="685"/>
      <c r="D19" s="685"/>
      <c r="J19" s="684"/>
    </row>
    <row r="20" spans="1:10" x14ac:dyDescent="0.25">
      <c r="A20" s="683"/>
      <c r="B20" s="685"/>
      <c r="D20" s="685"/>
      <c r="J20" s="684"/>
    </row>
    <row r="21" spans="1:10" x14ac:dyDescent="0.25">
      <c r="A21" s="683"/>
      <c r="B21" s="685"/>
      <c r="C21" s="685"/>
      <c r="D21" s="685"/>
      <c r="J21" s="684"/>
    </row>
    <row r="22" spans="1:10" x14ac:dyDescent="0.25">
      <c r="A22" s="683"/>
      <c r="B22" s="685"/>
      <c r="C22" s="685"/>
      <c r="D22" s="685"/>
      <c r="J22" s="684"/>
    </row>
    <row r="23" spans="1:10" x14ac:dyDescent="0.25">
      <c r="A23" s="683"/>
      <c r="B23" s="685"/>
      <c r="C23" s="685"/>
      <c r="D23" s="685"/>
      <c r="J23" s="684"/>
    </row>
    <row r="24" spans="1:10" x14ac:dyDescent="0.25">
      <c r="A24" s="683"/>
      <c r="J24" s="684"/>
    </row>
    <row r="25" spans="1:10" x14ac:dyDescent="0.25">
      <c r="A25" s="683"/>
      <c r="J25" s="684"/>
    </row>
    <row r="26" spans="1:10" x14ac:dyDescent="0.25">
      <c r="A26" s="683"/>
      <c r="J26" s="684"/>
    </row>
    <row r="27" spans="1:10" x14ac:dyDescent="0.25">
      <c r="A27" s="683"/>
      <c r="J27" s="684"/>
    </row>
    <row r="28" spans="1:10" x14ac:dyDescent="0.25">
      <c r="A28" s="683"/>
      <c r="J28" s="684"/>
    </row>
    <row r="29" spans="1:10" x14ac:dyDescent="0.25">
      <c r="A29" s="683"/>
      <c r="J29" s="684"/>
    </row>
    <row r="30" spans="1:10" x14ac:dyDescent="0.25">
      <c r="A30" s="683"/>
      <c r="J30" s="684"/>
    </row>
    <row r="31" spans="1:10" x14ac:dyDescent="0.25">
      <c r="A31" s="683"/>
      <c r="J31" s="684"/>
    </row>
    <row r="32" spans="1:10" x14ac:dyDescent="0.25">
      <c r="A32" s="683"/>
      <c r="J32" s="684"/>
    </row>
    <row r="33" spans="1:10" x14ac:dyDescent="0.25">
      <c r="A33" s="683"/>
      <c r="J33" s="684"/>
    </row>
    <row r="34" spans="1:10" x14ac:dyDescent="0.25">
      <c r="A34" s="683"/>
      <c r="J34" s="684"/>
    </row>
    <row r="35" spans="1:10" x14ac:dyDescent="0.25">
      <c r="A35" s="683"/>
      <c r="J35" s="684"/>
    </row>
    <row r="36" spans="1:10" x14ac:dyDescent="0.25">
      <c r="A36" s="683"/>
      <c r="J36" s="684"/>
    </row>
    <row r="37" spans="1:10" x14ac:dyDescent="0.25">
      <c r="A37" s="683"/>
      <c r="J37" s="684"/>
    </row>
    <row r="38" spans="1:10" x14ac:dyDescent="0.25">
      <c r="A38" s="683"/>
      <c r="J38" s="684"/>
    </row>
    <row r="39" spans="1:10" x14ac:dyDescent="0.25">
      <c r="A39" s="683"/>
      <c r="J39" s="684"/>
    </row>
    <row r="40" spans="1:10" x14ac:dyDescent="0.25">
      <c r="A40" s="683"/>
      <c r="J40" s="684"/>
    </row>
    <row r="41" spans="1:10" x14ac:dyDescent="0.25">
      <c r="A41" s="683"/>
      <c r="J41" s="684"/>
    </row>
    <row r="42" spans="1:10" x14ac:dyDescent="0.25">
      <c r="A42" s="683"/>
      <c r="J42" s="684"/>
    </row>
    <row r="43" spans="1:10" x14ac:dyDescent="0.25">
      <c r="A43" s="683"/>
      <c r="J43" s="684"/>
    </row>
    <row r="44" spans="1:10" x14ac:dyDescent="0.25">
      <c r="A44" s="683"/>
      <c r="J44" s="684"/>
    </row>
    <row r="45" spans="1:10" x14ac:dyDescent="0.25">
      <c r="A45" s="683"/>
      <c r="J45" s="684"/>
    </row>
    <row r="46" spans="1:10" x14ac:dyDescent="0.25">
      <c r="A46" s="683"/>
      <c r="J46" s="684"/>
    </row>
    <row r="47" spans="1:10" x14ac:dyDescent="0.25">
      <c r="A47" s="683"/>
      <c r="J47" s="684"/>
    </row>
    <row r="48" spans="1:10" x14ac:dyDescent="0.25">
      <c r="A48" s="683"/>
      <c r="J48" s="684"/>
    </row>
    <row r="49" spans="1:10" x14ac:dyDescent="0.25">
      <c r="A49" s="683"/>
      <c r="J49" s="684"/>
    </row>
    <row r="50" spans="1:10" x14ac:dyDescent="0.25">
      <c r="A50" s="683"/>
      <c r="J50" s="684"/>
    </row>
    <row r="51" spans="1:10" x14ac:dyDescent="0.25">
      <c r="A51" s="683"/>
      <c r="J51" s="684"/>
    </row>
    <row r="52" spans="1:10" x14ac:dyDescent="0.25">
      <c r="A52" s="683"/>
      <c r="J52" s="684"/>
    </row>
    <row r="53" spans="1:10" x14ac:dyDescent="0.25">
      <c r="A53" s="683"/>
      <c r="J53" s="684"/>
    </row>
    <row r="54" spans="1:10" x14ac:dyDescent="0.25">
      <c r="A54" s="683"/>
      <c r="J54" s="684"/>
    </row>
    <row r="55" spans="1:10" x14ac:dyDescent="0.25">
      <c r="A55" s="683"/>
      <c r="J55" s="684"/>
    </row>
    <row r="56" spans="1:10" x14ac:dyDescent="0.25">
      <c r="A56" s="683"/>
      <c r="J56" s="684"/>
    </row>
    <row r="57" spans="1:10" x14ac:dyDescent="0.25">
      <c r="A57" s="683"/>
      <c r="J57" s="684"/>
    </row>
    <row r="58" spans="1:10" x14ac:dyDescent="0.25">
      <c r="A58" s="683"/>
      <c r="J58" s="684"/>
    </row>
    <row r="59" spans="1:10" x14ac:dyDescent="0.25">
      <c r="A59" s="686"/>
      <c r="B59" s="687"/>
      <c r="C59" s="687"/>
      <c r="D59" s="687"/>
      <c r="E59" s="687"/>
      <c r="F59" s="687"/>
      <c r="G59" s="687"/>
      <c r="H59" s="687"/>
      <c r="I59" s="687"/>
      <c r="J59" s="688"/>
    </row>
  </sheetData>
  <printOptions horizontalCentered="1" verticalCentered="1"/>
  <pageMargins left="0.39370078740157483" right="0.39370078740157483" top="0.39370078740157483" bottom="0.39370078740157483" header="0.31496062992125984" footer="0.31496062992125984"/>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1:Q383"/>
  <sheetViews>
    <sheetView showGridLines="0" view="pageBreakPreview" zoomScaleNormal="85" zoomScaleSheetLayoutView="100" workbookViewId="0">
      <pane ySplit="5" topLeftCell="A6" activePane="bottomLeft" state="frozen"/>
      <selection pane="bottomLeft"/>
    </sheetView>
  </sheetViews>
  <sheetFormatPr defaultColWidth="9" defaultRowHeight="13.8" x14ac:dyDescent="0.25"/>
  <cols>
    <col min="1" max="1" width="9.69921875" style="2" bestFit="1" customWidth="1"/>
    <col min="2" max="2" width="8" style="2" customWidth="1"/>
    <col min="3" max="3" width="2.09765625" style="1" customWidth="1"/>
    <col min="4" max="4" width="2.19921875" style="1" customWidth="1"/>
    <col min="5" max="5" width="38.5" style="1" customWidth="1"/>
    <col min="6" max="6" width="5.09765625" style="1" customWidth="1"/>
    <col min="7" max="7" width="10.09765625" style="1" customWidth="1"/>
    <col min="8" max="8" width="10.09765625" style="12" customWidth="1"/>
    <col min="9" max="11" width="10.09765625" style="1" customWidth="1"/>
    <col min="12" max="12" width="1.8984375" style="1" customWidth="1"/>
    <col min="13" max="13" width="9" style="1" customWidth="1"/>
    <col min="14" max="15" width="9" style="1"/>
    <col min="16" max="16" width="43.59765625" style="1" customWidth="1"/>
    <col min="17" max="16384" width="9" style="1"/>
  </cols>
  <sheetData>
    <row r="1" spans="1:17" ht="16.5" customHeight="1" x14ac:dyDescent="0.25">
      <c r="A1" s="146" t="s">
        <v>1229</v>
      </c>
      <c r="B1" s="145" t="s">
        <v>207</v>
      </c>
      <c r="C1" s="51" t="str">
        <f>IF('Merge Details_Printing instr'!$B$11="Insert details here",'Merge Details_Printing instr'!$A$11,'Merge Details_Printing instr'!$B$11)</f>
        <v>Council Name</v>
      </c>
      <c r="D1" s="2"/>
      <c r="E1" s="225"/>
      <c r="F1" s="225"/>
      <c r="G1" s="225"/>
    </row>
    <row r="2" spans="1:17" s="3" customFormat="1" ht="16.5" customHeight="1" x14ac:dyDescent="0.3">
      <c r="A2" s="504" t="s">
        <v>696</v>
      </c>
      <c r="B2" s="27"/>
      <c r="C2" s="84" t="str">
        <f>+'Merge Details_Printing instr'!A12</f>
        <v>2023-2024 Financial Report</v>
      </c>
      <c r="D2" s="226"/>
      <c r="E2" s="226"/>
      <c r="F2" s="226"/>
      <c r="G2" s="226"/>
      <c r="H2" s="78"/>
      <c r="I2" s="78"/>
      <c r="J2" s="78"/>
      <c r="K2" s="78"/>
      <c r="L2" s="79"/>
    </row>
    <row r="3" spans="1:17" x14ac:dyDescent="0.25">
      <c r="D3" s="25"/>
      <c r="E3" s="25"/>
      <c r="F3" s="11"/>
      <c r="G3" s="11"/>
      <c r="H3" s="10"/>
      <c r="I3" s="11"/>
      <c r="J3" s="11"/>
      <c r="K3" s="11"/>
      <c r="L3" s="26"/>
    </row>
    <row r="4" spans="1:17" ht="20.25" customHeight="1" x14ac:dyDescent="0.35">
      <c r="B4" s="617"/>
      <c r="D4" s="617"/>
      <c r="E4" s="2099" t="s">
        <v>208</v>
      </c>
      <c r="F4" s="2099"/>
      <c r="G4" s="2099"/>
      <c r="H4" s="2099"/>
      <c r="I4" s="2099"/>
      <c r="J4" s="2099"/>
      <c r="K4" s="2099"/>
      <c r="L4" s="2099"/>
    </row>
    <row r="5" spans="1:17" ht="20.25" customHeight="1" x14ac:dyDescent="0.35">
      <c r="A5" s="1"/>
      <c r="B5" s="617"/>
      <c r="D5" s="617"/>
      <c r="E5" s="2099" t="str">
        <f>+'Merge Details_Printing instr'!A14</f>
        <v>For the Year Ended 30 June 2024</v>
      </c>
      <c r="F5" s="2099"/>
      <c r="G5" s="2099"/>
      <c r="H5" s="2099"/>
      <c r="I5" s="2099"/>
      <c r="J5" s="2099"/>
      <c r="K5" s="2099"/>
      <c r="L5" s="2099"/>
    </row>
    <row r="6" spans="1:17" ht="14.4" x14ac:dyDescent="0.25">
      <c r="A6" s="616">
        <v>101</v>
      </c>
      <c r="B6" s="616">
        <v>106</v>
      </c>
      <c r="C6" s="52"/>
      <c r="D6" s="52"/>
      <c r="E6" s="52"/>
      <c r="G6" s="69"/>
      <c r="H6" s="69"/>
      <c r="I6" s="69"/>
      <c r="J6" s="69"/>
      <c r="K6" s="69"/>
      <c r="L6" s="52"/>
    </row>
    <row r="7" spans="1:17" ht="41.25" customHeight="1" x14ac:dyDescent="0.3">
      <c r="A7" s="616">
        <v>101</v>
      </c>
      <c r="B7" s="616">
        <v>8</v>
      </c>
      <c r="C7" s="52"/>
      <c r="D7" s="855"/>
      <c r="E7" s="855"/>
      <c r="F7" s="856" t="s">
        <v>286</v>
      </c>
      <c r="G7" s="857" t="s">
        <v>1372</v>
      </c>
      <c r="H7" s="857" t="s">
        <v>1379</v>
      </c>
      <c r="I7" s="857" t="s">
        <v>1380</v>
      </c>
      <c r="J7" s="857" t="s">
        <v>1373</v>
      </c>
      <c r="K7" s="857" t="s">
        <v>1389</v>
      </c>
      <c r="L7" s="225"/>
    </row>
    <row r="8" spans="1:17" ht="15" x14ac:dyDescent="0.3">
      <c r="A8" s="616"/>
      <c r="B8" s="616"/>
      <c r="C8" s="52"/>
      <c r="D8" s="855"/>
      <c r="E8" s="855"/>
      <c r="F8" s="858"/>
      <c r="G8" s="859">
        <f>+'Merge Details_Printing instr'!A19</f>
        <v>2024</v>
      </c>
      <c r="H8" s="859">
        <f>+'Merge Details_Printing instr'!A19</f>
        <v>2024</v>
      </c>
      <c r="I8" s="859">
        <f>+'Merge Details_Printing instr'!A19</f>
        <v>2024</v>
      </c>
      <c r="J8" s="859">
        <f>+'Merge Details_Printing instr'!A19</f>
        <v>2024</v>
      </c>
      <c r="K8" s="859">
        <f>+'Merge Details_Printing instr'!A19</f>
        <v>2024</v>
      </c>
      <c r="L8" s="225"/>
    </row>
    <row r="9" spans="1:17" ht="15" x14ac:dyDescent="0.3">
      <c r="A9" s="616"/>
      <c r="B9" s="616"/>
      <c r="C9" s="225"/>
      <c r="D9" s="855"/>
      <c r="E9" s="860">
        <f>'Merge Details_Printing instr'!A19</f>
        <v>2024</v>
      </c>
      <c r="F9" s="858"/>
      <c r="G9" s="861" t="str">
        <f>+'Merge Details_Printing instr'!$A$24</f>
        <v>$'000</v>
      </c>
      <c r="H9" s="861" t="str">
        <f>+'Merge Details_Printing instr'!$A$24</f>
        <v>$'000</v>
      </c>
      <c r="I9" s="861" t="str">
        <f>+'Merge Details_Printing instr'!$A$24</f>
        <v>$'000</v>
      </c>
      <c r="J9" s="861" t="str">
        <f>+'Merge Details_Printing instr'!$A$24</f>
        <v>$'000</v>
      </c>
      <c r="K9" s="861" t="str">
        <f>+'Merge Details_Printing instr'!$A$24</f>
        <v>$'000</v>
      </c>
      <c r="L9" s="225"/>
      <c r="M9" s="13"/>
      <c r="N9" s="13"/>
      <c r="O9" s="13"/>
      <c r="P9" s="13"/>
      <c r="Q9" s="13"/>
    </row>
    <row r="10" spans="1:17" ht="15" x14ac:dyDescent="0.3">
      <c r="A10" s="142"/>
      <c r="B10" s="142"/>
      <c r="C10" s="3"/>
      <c r="D10" s="136"/>
      <c r="E10" s="136"/>
      <c r="F10" s="136"/>
      <c r="G10" s="862"/>
      <c r="H10" s="862"/>
      <c r="I10" s="862"/>
      <c r="J10" s="862"/>
      <c r="K10" s="862"/>
      <c r="M10" s="13"/>
      <c r="N10" s="13"/>
      <c r="O10" s="13"/>
      <c r="P10" s="13"/>
      <c r="Q10" s="13"/>
    </row>
    <row r="11" spans="1:17" ht="15" x14ac:dyDescent="0.3">
      <c r="A11" s="142"/>
      <c r="B11" s="142"/>
      <c r="C11" s="585" t="s">
        <v>315</v>
      </c>
      <c r="D11" s="863"/>
      <c r="E11" s="863"/>
      <c r="F11" s="864"/>
      <c r="G11" s="865">
        <f>+G45</f>
        <v>445276</v>
      </c>
      <c r="H11" s="865">
        <f>H45</f>
        <v>107840</v>
      </c>
      <c r="I11" s="865">
        <f>I45</f>
        <v>840</v>
      </c>
      <c r="J11" s="865">
        <f>J45</f>
        <v>1369</v>
      </c>
      <c r="K11" s="865">
        <f>SUM(G11:J11)</f>
        <v>555325</v>
      </c>
    </row>
    <row r="12" spans="1:17" ht="15" x14ac:dyDescent="0.3">
      <c r="A12" s="254"/>
      <c r="B12" s="254"/>
      <c r="C12" s="627" t="s">
        <v>1457</v>
      </c>
      <c r="D12" s="796"/>
      <c r="E12" s="796"/>
      <c r="F12" s="804"/>
      <c r="G12" s="805"/>
      <c r="H12" s="805"/>
      <c r="I12" s="805"/>
      <c r="J12" s="805"/>
      <c r="K12" s="805"/>
    </row>
    <row r="13" spans="1:17" ht="15" x14ac:dyDescent="0.3">
      <c r="A13" s="254"/>
      <c r="B13" s="254"/>
      <c r="C13" s="19" t="s">
        <v>1709</v>
      </c>
      <c r="D13" s="796"/>
      <c r="E13" s="796"/>
      <c r="F13" s="804">
        <v>9.14</v>
      </c>
      <c r="G13" s="805">
        <v>0</v>
      </c>
      <c r="H13" s="805">
        <v>0</v>
      </c>
      <c r="I13" s="805">
        <v>0</v>
      </c>
      <c r="J13" s="805">
        <v>0</v>
      </c>
      <c r="K13" s="805">
        <f>SUM(G13:J13)</f>
        <v>0</v>
      </c>
    </row>
    <row r="14" spans="1:17" ht="15" x14ac:dyDescent="0.3">
      <c r="A14" s="142" t="s">
        <v>162</v>
      </c>
      <c r="B14" s="142" t="s">
        <v>672</v>
      </c>
      <c r="C14" s="19" t="s">
        <v>1360</v>
      </c>
      <c r="D14" s="796"/>
      <c r="E14" s="796"/>
      <c r="F14" s="804"/>
      <c r="G14" s="805">
        <v>0</v>
      </c>
      <c r="H14" s="805">
        <v>0</v>
      </c>
      <c r="I14" s="805">
        <v>0</v>
      </c>
      <c r="J14" s="805">
        <v>0</v>
      </c>
      <c r="K14" s="805">
        <f>SUM(G14:J14)</f>
        <v>0</v>
      </c>
    </row>
    <row r="15" spans="1:17" ht="15" x14ac:dyDescent="0.3">
      <c r="A15" s="142"/>
      <c r="B15" s="142"/>
      <c r="C15" s="586" t="s">
        <v>1361</v>
      </c>
      <c r="D15" s="796"/>
      <c r="E15" s="796"/>
      <c r="F15" s="804"/>
      <c r="G15" s="809">
        <f>SUM(G11:G14)</f>
        <v>445276</v>
      </c>
      <c r="H15" s="809">
        <f>SUM(H11:H14)</f>
        <v>107840</v>
      </c>
      <c r="I15" s="809">
        <f>SUM(I11:I14)</f>
        <v>840</v>
      </c>
      <c r="J15" s="809">
        <f>SUM(J11:J14)</f>
        <v>1369</v>
      </c>
      <c r="K15" s="809">
        <f>SUM(K11:K14)</f>
        <v>555325</v>
      </c>
      <c r="P15" s="37"/>
    </row>
    <row r="16" spans="1:17" ht="15" x14ac:dyDescent="0.3">
      <c r="A16" s="142">
        <v>101</v>
      </c>
      <c r="B16" s="142" t="s">
        <v>670</v>
      </c>
      <c r="C16" s="738" t="s">
        <v>1181</v>
      </c>
      <c r="D16" s="866"/>
      <c r="E16" s="866"/>
      <c r="F16" s="804"/>
      <c r="G16" s="805">
        <f>'Stat'' of Comprehensive Income'!G37</f>
        <v>4270</v>
      </c>
      <c r="H16" s="805">
        <v>0</v>
      </c>
      <c r="I16" s="805">
        <v>0</v>
      </c>
      <c r="J16" s="805">
        <v>0</v>
      </c>
      <c r="K16" s="805">
        <f>SUM(G16:J16)</f>
        <v>4270</v>
      </c>
      <c r="M16" s="301"/>
    </row>
    <row r="17" spans="1:16" ht="15" x14ac:dyDescent="0.3">
      <c r="A17" s="254">
        <v>101</v>
      </c>
      <c r="B17" s="254" t="s">
        <v>782</v>
      </c>
      <c r="C17" s="738" t="s">
        <v>431</v>
      </c>
      <c r="D17" s="866"/>
      <c r="E17" s="866"/>
      <c r="F17" s="804"/>
      <c r="G17" s="805"/>
      <c r="H17" s="805"/>
      <c r="I17" s="805"/>
      <c r="J17" s="805"/>
      <c r="K17" s="805"/>
      <c r="P17" s="203"/>
    </row>
    <row r="18" spans="1:16" ht="15" x14ac:dyDescent="0.3">
      <c r="A18" s="254">
        <v>101</v>
      </c>
      <c r="B18" s="254" t="s">
        <v>671</v>
      </c>
      <c r="C18" s="738"/>
      <c r="D18" s="866" t="s">
        <v>423</v>
      </c>
      <c r="E18" s="866"/>
      <c r="F18" s="804"/>
      <c r="G18" s="805">
        <v>0</v>
      </c>
      <c r="H18" s="805">
        <v>0</v>
      </c>
      <c r="I18" s="805">
        <v>0</v>
      </c>
      <c r="J18" s="805">
        <v>0</v>
      </c>
      <c r="K18" s="805">
        <f>SUM(G18:J18)</f>
        <v>0</v>
      </c>
      <c r="M18" s="587"/>
      <c r="N18" s="584"/>
    </row>
    <row r="19" spans="1:16" ht="15" x14ac:dyDescent="0.3">
      <c r="A19" s="254">
        <v>7</v>
      </c>
      <c r="B19" s="254" t="s">
        <v>163</v>
      </c>
      <c r="C19" s="622"/>
      <c r="D19" s="866" t="s">
        <v>1410</v>
      </c>
      <c r="E19" s="136"/>
      <c r="F19" s="791" t="str">
        <f>'Notes 2 to 5'!E566&amp;","&amp;'Note 9'!D5</f>
        <v>5.2,9.1</v>
      </c>
      <c r="G19" s="805">
        <v>0</v>
      </c>
      <c r="H19" s="805">
        <v>0</v>
      </c>
      <c r="I19" s="805">
        <f>'Stat'' of Comprehensive Income'!G54</f>
        <v>110</v>
      </c>
      <c r="J19" s="805">
        <v>0</v>
      </c>
      <c r="K19" s="805">
        <f>SUM(G19:J19)</f>
        <v>110</v>
      </c>
      <c r="M19" s="570"/>
      <c r="P19" s="37"/>
    </row>
    <row r="20" spans="1:16" ht="15" x14ac:dyDescent="0.3">
      <c r="A20" s="254">
        <v>101</v>
      </c>
      <c r="B20" s="254" t="str">
        <f>B18</f>
        <v>106(d)(ii)</v>
      </c>
      <c r="C20" s="287"/>
      <c r="D20" s="796" t="s">
        <v>1166</v>
      </c>
      <c r="E20" s="866"/>
      <c r="F20" s="791">
        <f>'Note 9'!D5</f>
        <v>9.1</v>
      </c>
      <c r="G20" s="805">
        <v>0</v>
      </c>
      <c r="H20" s="805">
        <f>'Note 9'!H22</f>
        <v>6637</v>
      </c>
      <c r="I20" s="805">
        <v>0</v>
      </c>
      <c r="J20" s="805">
        <v>0</v>
      </c>
      <c r="K20" s="805">
        <f>SUM(G20:J20)</f>
        <v>6637</v>
      </c>
      <c r="M20" s="570"/>
      <c r="P20" s="37"/>
    </row>
    <row r="21" spans="1:16" ht="15" x14ac:dyDescent="0.3">
      <c r="A21" s="254">
        <v>101</v>
      </c>
      <c r="B21" s="254" t="str">
        <f>B20</f>
        <v>106(d)(ii)</v>
      </c>
      <c r="C21" s="287"/>
      <c r="D21" s="796" t="s">
        <v>756</v>
      </c>
      <c r="E21" s="866"/>
      <c r="F21" s="804"/>
      <c r="G21" s="805">
        <v>0</v>
      </c>
      <c r="H21" s="805">
        <v>0</v>
      </c>
      <c r="I21" s="805">
        <v>0</v>
      </c>
      <c r="J21" s="805">
        <v>0</v>
      </c>
      <c r="K21" s="805">
        <f>SUM(G21:J21)</f>
        <v>0</v>
      </c>
      <c r="P21" s="37"/>
    </row>
    <row r="22" spans="1:16" ht="27" customHeight="1" x14ac:dyDescent="0.25">
      <c r="A22" s="253">
        <v>101</v>
      </c>
      <c r="B22" s="253" t="str">
        <f>B21</f>
        <v>106(d)(ii)</v>
      </c>
      <c r="C22" s="287"/>
      <c r="D22" s="2101" t="s">
        <v>432</v>
      </c>
      <c r="E22" s="2101"/>
      <c r="F22" s="2101"/>
      <c r="G22" s="867">
        <v>0</v>
      </c>
      <c r="H22" s="867">
        <v>0</v>
      </c>
      <c r="I22" s="867">
        <v>0</v>
      </c>
      <c r="J22" s="867">
        <v>0</v>
      </c>
      <c r="K22" s="867">
        <f>SUM(G22:J22)</f>
        <v>0</v>
      </c>
      <c r="P22" s="37"/>
    </row>
    <row r="23" spans="1:16" ht="14.4" x14ac:dyDescent="0.3">
      <c r="A23" s="253"/>
      <c r="B23" s="253"/>
      <c r="C23" s="1958" t="s">
        <v>1031</v>
      </c>
      <c r="F23" s="868"/>
      <c r="G23" s="869">
        <f>SUM(G15:G22)</f>
        <v>449546</v>
      </c>
      <c r="H23" s="869">
        <f>SUM(H15:H22)</f>
        <v>114477</v>
      </c>
      <c r="I23" s="869">
        <f>SUM(I15:I22)</f>
        <v>950</v>
      </c>
      <c r="J23" s="869">
        <f>SUM(J15:J22)</f>
        <v>1369</v>
      </c>
      <c r="K23" s="869">
        <f>SUM(K15:K22)</f>
        <v>566342</v>
      </c>
      <c r="M23" s="170">
        <f>'Stat'' of Financial Position'!F55-'Statement Changes in Equity'!K23</f>
        <v>0</v>
      </c>
      <c r="N23" s="668" t="str">
        <f>"Check Equity Balance = $ "&amp;'Stat'' of Financial Position'!F50</f>
        <v>Check Equity Balance = $ 566342</v>
      </c>
      <c r="P23" s="582"/>
    </row>
    <row r="24" spans="1:16" ht="15" x14ac:dyDescent="0.3">
      <c r="A24" s="142"/>
      <c r="B24" s="142"/>
      <c r="C24" s="27" t="s">
        <v>433</v>
      </c>
      <c r="D24" s="777"/>
      <c r="E24" s="870"/>
      <c r="F24" s="871"/>
      <c r="G24" s="806">
        <v>0</v>
      </c>
      <c r="H24" s="806">
        <v>0</v>
      </c>
      <c r="I24" s="806">
        <v>0</v>
      </c>
      <c r="J24" s="806">
        <v>0</v>
      </c>
      <c r="K24" s="806">
        <f>SUM(G24:J24)</f>
        <v>0</v>
      </c>
      <c r="P24" s="37"/>
    </row>
    <row r="25" spans="1:16" ht="15.6" thickBot="1" x14ac:dyDescent="0.35">
      <c r="A25" s="142"/>
      <c r="B25" s="142"/>
      <c r="C25" s="4" t="s">
        <v>637</v>
      </c>
      <c r="D25" s="136"/>
      <c r="E25" s="136"/>
      <c r="F25" s="852"/>
      <c r="G25" s="872">
        <f>G23+G24</f>
        <v>449546</v>
      </c>
      <c r="H25" s="872">
        <f>H23+H24</f>
        <v>114477</v>
      </c>
      <c r="I25" s="872">
        <f>I23+I24</f>
        <v>950</v>
      </c>
      <c r="J25" s="872">
        <f>J23+J24</f>
        <v>1369</v>
      </c>
      <c r="K25" s="872">
        <f>K23+K24</f>
        <v>566342</v>
      </c>
    </row>
    <row r="26" spans="1:16" ht="15" x14ac:dyDescent="0.3">
      <c r="A26" s="142"/>
      <c r="B26" s="142"/>
      <c r="C26" s="3"/>
      <c r="D26" s="802"/>
      <c r="E26" s="802"/>
      <c r="F26" s="852"/>
      <c r="G26" s="873"/>
      <c r="H26" s="873"/>
      <c r="I26" s="873"/>
      <c r="J26" s="873"/>
      <c r="K26" s="873"/>
      <c r="L26" s="95"/>
    </row>
    <row r="27" spans="1:16" ht="41.4" x14ac:dyDescent="0.3">
      <c r="A27" s="142"/>
      <c r="B27" s="142"/>
      <c r="C27" s="3"/>
      <c r="D27" s="802"/>
      <c r="E27" s="802"/>
      <c r="F27" s="852"/>
      <c r="G27" s="857" t="str">
        <f>G7</f>
        <v>Accumulated Surplus</v>
      </c>
      <c r="H27" s="857" t="str">
        <f>H7</f>
        <v>Asset Revaluation Reserve</v>
      </c>
      <c r="I27" s="857" t="str">
        <f>I7</f>
        <v xml:space="preserve">Fair Value Reserve </v>
      </c>
      <c r="J27" s="857" t="str">
        <f>J7</f>
        <v>Other                      Reserves</v>
      </c>
      <c r="K27" s="857" t="str">
        <f>K7</f>
        <v xml:space="preserve">Total                         Equity                  </v>
      </c>
      <c r="L27" s="95"/>
    </row>
    <row r="28" spans="1:16" ht="15" x14ac:dyDescent="0.3">
      <c r="A28" s="142"/>
      <c r="B28" s="142"/>
      <c r="C28" s="3"/>
      <c r="D28" s="136"/>
      <c r="E28" s="136"/>
      <c r="F28" s="136"/>
      <c r="G28" s="874">
        <f>+'Merge Details_Printing instr'!A20</f>
        <v>2023</v>
      </c>
      <c r="H28" s="874">
        <f>+'Merge Details_Printing instr'!A20</f>
        <v>2023</v>
      </c>
      <c r="I28" s="874">
        <f>+'Merge Details_Printing instr'!A20</f>
        <v>2023</v>
      </c>
      <c r="J28" s="874">
        <f>+'Merge Details_Printing instr'!A20</f>
        <v>2023</v>
      </c>
      <c r="K28" s="874">
        <f>+'Merge Details_Printing instr'!A20</f>
        <v>2023</v>
      </c>
      <c r="L28" s="82"/>
    </row>
    <row r="29" spans="1:16" ht="15" x14ac:dyDescent="0.3">
      <c r="A29" s="142"/>
      <c r="B29" s="142"/>
      <c r="C29" s="3"/>
      <c r="D29" s="136"/>
      <c r="E29" s="860">
        <f>'Merge Details_Printing instr'!A20</f>
        <v>2023</v>
      </c>
      <c r="F29" s="136"/>
      <c r="G29" s="873" t="str">
        <f>+'Merge Details_Printing instr'!$A$24</f>
        <v>$'000</v>
      </c>
      <c r="H29" s="873" t="str">
        <f>+'Merge Details_Printing instr'!$A$24</f>
        <v>$'000</v>
      </c>
      <c r="I29" s="873" t="str">
        <f>+'Merge Details_Printing instr'!$A$24</f>
        <v>$'000</v>
      </c>
      <c r="J29" s="873" t="str">
        <f>+'Merge Details_Printing instr'!$A$24</f>
        <v>$'000</v>
      </c>
      <c r="K29" s="873" t="str">
        <f>+'Merge Details_Printing instr'!$A$24</f>
        <v>$'000</v>
      </c>
      <c r="L29" s="82"/>
    </row>
    <row r="30" spans="1:16" ht="14.4" x14ac:dyDescent="0.3">
      <c r="A30" s="151"/>
      <c r="B30" s="151"/>
      <c r="D30" s="136"/>
      <c r="E30" s="136"/>
      <c r="F30" s="136"/>
      <c r="G30" s="796"/>
      <c r="H30" s="862"/>
      <c r="I30" s="862"/>
      <c r="J30" s="862"/>
      <c r="K30" s="862"/>
      <c r="L30" s="87"/>
    </row>
    <row r="31" spans="1:16" ht="15" x14ac:dyDescent="0.3">
      <c r="A31" s="142"/>
      <c r="B31" s="142"/>
      <c r="C31" s="266" t="s">
        <v>315</v>
      </c>
      <c r="D31" s="863"/>
      <c r="E31" s="863"/>
      <c r="F31" s="864"/>
      <c r="G31" s="865">
        <f>397365+66350-20000+900+1000-164+9000</f>
        <v>454451</v>
      </c>
      <c r="H31" s="865">
        <f>'Note 9'!G39</f>
        <v>107840</v>
      </c>
      <c r="I31" s="865">
        <v>0</v>
      </c>
      <c r="J31" s="865">
        <f>'Note 9'!G63</f>
        <v>1369</v>
      </c>
      <c r="K31" s="865">
        <f>SUM(G31:J31)</f>
        <v>563660</v>
      </c>
      <c r="L31" s="87"/>
    </row>
    <row r="32" spans="1:16" ht="15" x14ac:dyDescent="0.3">
      <c r="A32" s="254"/>
      <c r="B32" s="254"/>
      <c r="C32" s="627" t="s">
        <v>1457</v>
      </c>
      <c r="D32" s="796"/>
      <c r="E32" s="796"/>
      <c r="F32" s="804"/>
      <c r="G32" s="805"/>
      <c r="H32" s="805"/>
      <c r="I32" s="805"/>
      <c r="J32" s="805"/>
      <c r="K32" s="805"/>
      <c r="L32" s="87"/>
    </row>
    <row r="33" spans="1:13" ht="15" x14ac:dyDescent="0.3">
      <c r="A33" s="254" t="s">
        <v>162</v>
      </c>
      <c r="B33" s="254" t="s">
        <v>1710</v>
      </c>
      <c r="C33" s="19" t="s">
        <v>1709</v>
      </c>
      <c r="D33" s="796"/>
      <c r="E33" s="796"/>
      <c r="F33" s="791">
        <v>9.14</v>
      </c>
      <c r="G33" s="805">
        <v>0</v>
      </c>
      <c r="H33" s="805">
        <v>0</v>
      </c>
      <c r="I33" s="805">
        <v>0</v>
      </c>
      <c r="J33" s="805">
        <v>0</v>
      </c>
      <c r="K33" s="805">
        <f>SUM(G33:J33)</f>
        <v>0</v>
      </c>
    </row>
    <row r="34" spans="1:13" ht="15" x14ac:dyDescent="0.3">
      <c r="A34" s="142" t="str">
        <f>A14</f>
        <v>101 (108)</v>
      </c>
      <c r="B34" s="142" t="str">
        <f>B14</f>
        <v>106(b) / 42</v>
      </c>
      <c r="C34" s="19" t="s">
        <v>1360</v>
      </c>
      <c r="D34" s="796"/>
      <c r="E34" s="796"/>
      <c r="F34" s="804"/>
      <c r="G34" s="805">
        <v>0</v>
      </c>
      <c r="H34" s="805">
        <v>0</v>
      </c>
      <c r="I34" s="805">
        <v>0</v>
      </c>
      <c r="J34" s="805">
        <v>0</v>
      </c>
      <c r="K34" s="805">
        <f>SUM(G34:J34)</f>
        <v>0</v>
      </c>
    </row>
    <row r="35" spans="1:13" ht="15" x14ac:dyDescent="0.3">
      <c r="A35" s="142"/>
      <c r="B35" s="142"/>
      <c r="C35" s="586" t="s">
        <v>1361</v>
      </c>
      <c r="D35" s="796"/>
      <c r="E35" s="796"/>
      <c r="F35" s="804"/>
      <c r="G35" s="865">
        <f>SUM(G31:G34)</f>
        <v>454451</v>
      </c>
      <c r="H35" s="865">
        <f t="shared" ref="H35:K35" si="0">SUM(H31:H34)</f>
        <v>107840</v>
      </c>
      <c r="I35" s="865">
        <f t="shared" si="0"/>
        <v>0</v>
      </c>
      <c r="J35" s="865">
        <f t="shared" si="0"/>
        <v>1369</v>
      </c>
      <c r="K35" s="865">
        <f t="shared" si="0"/>
        <v>563660</v>
      </c>
    </row>
    <row r="36" spans="1:13" ht="15" x14ac:dyDescent="0.3">
      <c r="A36" s="142">
        <f t="shared" ref="A36:B38" si="1">A16</f>
        <v>101</v>
      </c>
      <c r="B36" s="142" t="str">
        <f t="shared" si="1"/>
        <v>106(d)(i)</v>
      </c>
      <c r="C36" s="738" t="s">
        <v>1181</v>
      </c>
      <c r="D36" s="866"/>
      <c r="E36" s="866"/>
      <c r="F36" s="804"/>
      <c r="G36" s="805">
        <f>'Stat'' of Comprehensive Income'!H37</f>
        <v>-9175</v>
      </c>
      <c r="H36" s="805">
        <v>0</v>
      </c>
      <c r="I36" s="805">
        <v>0</v>
      </c>
      <c r="J36" s="805">
        <v>0</v>
      </c>
      <c r="K36" s="805">
        <f t="shared" ref="K36:K42" si="2">SUM(G36:J36)</f>
        <v>-9175</v>
      </c>
      <c r="M36" s="301"/>
    </row>
    <row r="37" spans="1:13" ht="15" x14ac:dyDescent="0.3">
      <c r="A37" s="142">
        <f t="shared" si="1"/>
        <v>101</v>
      </c>
      <c r="B37" s="142" t="str">
        <f t="shared" si="1"/>
        <v>106A</v>
      </c>
      <c r="C37" s="738" t="s">
        <v>431</v>
      </c>
      <c r="D37" s="866"/>
      <c r="E37" s="866"/>
      <c r="F37" s="804"/>
      <c r="G37" s="805"/>
      <c r="H37" s="805"/>
      <c r="I37" s="805"/>
      <c r="J37" s="805"/>
      <c r="K37" s="805"/>
    </row>
    <row r="38" spans="1:13" ht="15" x14ac:dyDescent="0.3">
      <c r="A38" s="142">
        <f t="shared" si="1"/>
        <v>101</v>
      </c>
      <c r="B38" s="142" t="str">
        <f t="shared" si="1"/>
        <v>106(d)(ii)</v>
      </c>
      <c r="C38" s="738"/>
      <c r="D38" s="875" t="s">
        <v>1570</v>
      </c>
      <c r="E38" s="875"/>
      <c r="F38" s="804"/>
      <c r="G38" s="805">
        <v>0</v>
      </c>
      <c r="H38" s="805">
        <v>0</v>
      </c>
      <c r="I38" s="805">
        <v>0</v>
      </c>
      <c r="J38" s="805">
        <v>0</v>
      </c>
      <c r="K38" s="805">
        <f t="shared" si="2"/>
        <v>0</v>
      </c>
    </row>
    <row r="39" spans="1:13" ht="15" x14ac:dyDescent="0.3">
      <c r="A39" s="142">
        <f>A20</f>
        <v>101</v>
      </c>
      <c r="B39" s="142" t="str">
        <f>B20</f>
        <v>106(d)(ii)</v>
      </c>
      <c r="C39" s="738"/>
      <c r="D39" s="866" t="s">
        <v>1410</v>
      </c>
      <c r="E39" s="136"/>
      <c r="F39" s="791" t="str">
        <f>F19</f>
        <v>5.2,9.1</v>
      </c>
      <c r="G39" s="805">
        <v>0</v>
      </c>
      <c r="H39" s="805">
        <v>0</v>
      </c>
      <c r="I39" s="805">
        <v>840</v>
      </c>
      <c r="J39" s="805">
        <v>0</v>
      </c>
      <c r="K39" s="805">
        <f t="shared" si="2"/>
        <v>840</v>
      </c>
      <c r="M39" s="570"/>
    </row>
    <row r="40" spans="1:13" ht="15" x14ac:dyDescent="0.3">
      <c r="A40" s="142"/>
      <c r="B40" s="142"/>
      <c r="C40" s="19"/>
      <c r="D40" s="796" t="s">
        <v>1166</v>
      </c>
      <c r="E40" s="866"/>
      <c r="F40" s="791">
        <f>F20</f>
        <v>9.1</v>
      </c>
      <c r="G40" s="805">
        <v>0</v>
      </c>
      <c r="H40" s="805">
        <v>0</v>
      </c>
      <c r="I40" s="805">
        <v>0</v>
      </c>
      <c r="J40" s="805">
        <v>0</v>
      </c>
      <c r="K40" s="805">
        <f t="shared" si="2"/>
        <v>0</v>
      </c>
    </row>
    <row r="41" spans="1:13" ht="15" x14ac:dyDescent="0.3">
      <c r="A41" s="142"/>
      <c r="B41" s="142"/>
      <c r="C41" s="19"/>
      <c r="D41" s="796" t="s">
        <v>756</v>
      </c>
      <c r="E41" s="866"/>
      <c r="F41" s="804"/>
      <c r="G41" s="805">
        <v>0</v>
      </c>
      <c r="H41" s="805">
        <v>0</v>
      </c>
      <c r="I41" s="805">
        <v>0</v>
      </c>
      <c r="J41" s="805">
        <v>0</v>
      </c>
      <c r="K41" s="805">
        <f t="shared" si="2"/>
        <v>0</v>
      </c>
    </row>
    <row r="42" spans="1:13" ht="27.75" customHeight="1" x14ac:dyDescent="0.25">
      <c r="A42" s="142"/>
      <c r="B42" s="142"/>
      <c r="C42" s="19"/>
      <c r="D42" s="2101" t="s">
        <v>432</v>
      </c>
      <c r="E42" s="2101"/>
      <c r="F42" s="2101"/>
      <c r="G42" s="867">
        <v>0</v>
      </c>
      <c r="H42" s="867">
        <v>0</v>
      </c>
      <c r="I42" s="867">
        <v>0</v>
      </c>
      <c r="J42" s="867">
        <v>0</v>
      </c>
      <c r="K42" s="867">
        <f t="shared" si="2"/>
        <v>0</v>
      </c>
    </row>
    <row r="43" spans="1:13" ht="15" x14ac:dyDescent="0.3">
      <c r="A43" s="254"/>
      <c r="B43" s="254"/>
      <c r="C43" s="1958" t="s">
        <v>1031</v>
      </c>
      <c r="D43" s="876"/>
      <c r="E43" s="868"/>
      <c r="F43" s="869"/>
      <c r="G43" s="869">
        <f>G35+G36+G38+G39+G40+G41+G42</f>
        <v>445276</v>
      </c>
      <c r="H43" s="869">
        <f>H35+H36+H38+H39+H40+H41+H42</f>
        <v>107840</v>
      </c>
      <c r="I43" s="869">
        <f>I35+I36+I38+I39+I40+I41+I42</f>
        <v>840</v>
      </c>
      <c r="J43" s="869">
        <f>J35+J36+J38+J39+J40+J41+J42</f>
        <v>1369</v>
      </c>
      <c r="K43" s="869">
        <f>K35+K36+K38+K39+K40+K41+K42</f>
        <v>555325</v>
      </c>
      <c r="M43" s="572"/>
    </row>
    <row r="44" spans="1:13" ht="15" x14ac:dyDescent="0.3">
      <c r="A44" s="142"/>
      <c r="B44" s="142"/>
      <c r="C44" s="27" t="s">
        <v>433</v>
      </c>
      <c r="D44" s="777"/>
      <c r="E44" s="777"/>
      <c r="F44" s="871"/>
      <c r="G44" s="806">
        <v>0</v>
      </c>
      <c r="H44" s="806">
        <v>0</v>
      </c>
      <c r="I44" s="806">
        <v>0</v>
      </c>
      <c r="J44" s="806">
        <v>0</v>
      </c>
      <c r="K44" s="806">
        <f>SUM(G44:J44)</f>
        <v>0</v>
      </c>
    </row>
    <row r="45" spans="1:13" ht="15.6" thickBot="1" x14ac:dyDescent="0.35">
      <c r="A45" s="142"/>
      <c r="B45" s="142"/>
      <c r="C45" s="4" t="s">
        <v>637</v>
      </c>
      <c r="E45" s="802"/>
      <c r="F45" s="852"/>
      <c r="G45" s="872">
        <f>G35+G36+G39</f>
        <v>445276</v>
      </c>
      <c r="H45" s="872">
        <f>H35+H36+H39</f>
        <v>107840</v>
      </c>
      <c r="I45" s="872">
        <f>I35+I36+I39</f>
        <v>840</v>
      </c>
      <c r="J45" s="872">
        <f>J35+J36+J39</f>
        <v>1369</v>
      </c>
      <c r="K45" s="872">
        <f>K35+K36+K39</f>
        <v>555325</v>
      </c>
    </row>
    <row r="46" spans="1:13" ht="15" x14ac:dyDescent="0.3">
      <c r="A46" s="254"/>
      <c r="B46" s="254"/>
      <c r="C46" s="246"/>
      <c r="D46" s="802"/>
      <c r="E46" s="802"/>
      <c r="F46" s="852"/>
      <c r="G46" s="852"/>
      <c r="H46" s="810"/>
      <c r="I46" s="810"/>
      <c r="J46" s="810"/>
      <c r="K46" s="810"/>
    </row>
    <row r="47" spans="1:13" ht="15" x14ac:dyDescent="0.3">
      <c r="A47" s="142"/>
      <c r="B47" s="142"/>
      <c r="C47" s="3"/>
      <c r="D47" s="817" t="s">
        <v>64</v>
      </c>
      <c r="E47" s="817"/>
      <c r="F47" s="817"/>
      <c r="G47" s="817"/>
      <c r="H47" s="817"/>
      <c r="I47" s="817"/>
      <c r="J47" s="136"/>
      <c r="K47" s="136"/>
    </row>
    <row r="48" spans="1:13" x14ac:dyDescent="0.25">
      <c r="E48" s="1">
        <f>'Note 9'!D91</f>
        <v>9.3000000000000007</v>
      </c>
      <c r="G48" s="12"/>
      <c r="H48" s="500" t="s">
        <v>1235</v>
      </c>
      <c r="I48" s="501" t="s">
        <v>1383</v>
      </c>
      <c r="J48" s="501" t="s">
        <v>1381</v>
      </c>
      <c r="K48" s="501" t="s">
        <v>1382</v>
      </c>
      <c r="L48" s="301"/>
    </row>
    <row r="49" spans="7:12" x14ac:dyDescent="0.25">
      <c r="G49" s="503" t="s">
        <v>1238</v>
      </c>
      <c r="H49" s="301">
        <f>'Stat'' of Financial Position'!G53</f>
        <v>445276</v>
      </c>
      <c r="I49" s="301">
        <f>'Note 9'!G39</f>
        <v>107840</v>
      </c>
      <c r="J49" s="301">
        <f>'Note 9'!J52</f>
        <v>840</v>
      </c>
      <c r="K49" s="301">
        <f>'Note 9'!J63</f>
        <v>1369</v>
      </c>
      <c r="L49" s="301"/>
    </row>
    <row r="50" spans="7:12" x14ac:dyDescent="0.25">
      <c r="G50" s="499" t="s">
        <v>1236</v>
      </c>
      <c r="H50" s="502">
        <f>G45-H49</f>
        <v>0</v>
      </c>
      <c r="I50" s="502">
        <f>H45-I49</f>
        <v>0</v>
      </c>
      <c r="J50" s="502">
        <f>I45-J49</f>
        <v>0</v>
      </c>
      <c r="K50" s="502">
        <f>J45-K49</f>
        <v>0</v>
      </c>
      <c r="L50" s="301"/>
    </row>
    <row r="51" spans="7:12" x14ac:dyDescent="0.25">
      <c r="G51" s="499"/>
      <c r="H51" s="301"/>
      <c r="I51" s="301"/>
      <c r="J51" s="301"/>
      <c r="K51" s="301"/>
      <c r="L51" s="301"/>
    </row>
    <row r="52" spans="7:12" x14ac:dyDescent="0.25">
      <c r="G52" s="503" t="s">
        <v>1238</v>
      </c>
      <c r="H52" s="301">
        <f>'Stat'' of Financial Position'!F53</f>
        <v>449546</v>
      </c>
      <c r="I52" s="301">
        <f>'Note 9'!J22</f>
        <v>114477</v>
      </c>
      <c r="J52" s="301">
        <f>'Note 9'!J48</f>
        <v>950</v>
      </c>
      <c r="K52" s="301">
        <f>'Note 9'!J60</f>
        <v>1369</v>
      </c>
      <c r="L52" s="301"/>
    </row>
    <row r="53" spans="7:12" x14ac:dyDescent="0.25">
      <c r="G53" s="499" t="s">
        <v>1237</v>
      </c>
      <c r="H53" s="170">
        <f>H52-G25</f>
        <v>0</v>
      </c>
      <c r="I53" s="170">
        <f>I52-H25</f>
        <v>0</v>
      </c>
      <c r="J53" s="170">
        <f>J52-I25</f>
        <v>0</v>
      </c>
      <c r="K53" s="170">
        <f>K52-J25</f>
        <v>0</v>
      </c>
    </row>
    <row r="54" spans="7:12" x14ac:dyDescent="0.25">
      <c r="G54" s="12"/>
      <c r="H54" s="1"/>
    </row>
    <row r="55" spans="7:12" x14ac:dyDescent="0.25">
      <c r="H55" s="571"/>
    </row>
    <row r="94" spans="5:5" x14ac:dyDescent="0.25">
      <c r="E94" s="1" t="s">
        <v>1313</v>
      </c>
    </row>
    <row r="110" spans="9:9" x14ac:dyDescent="0.25">
      <c r="I110" s="1">
        <f>I109-I108</f>
        <v>0</v>
      </c>
    </row>
    <row r="383" ht="11.25" customHeight="1" x14ac:dyDescent="0.25"/>
  </sheetData>
  <customSheetViews>
    <customSheetView guid="{7F222B88-8DE7-4209-9261-78C075D2F561}" showPageBreaks="1" printArea="1" view="pageBreakPreview" showRuler="0">
      <pane ySplit="2" topLeftCell="A12" activePane="bottomLeft" state="frozen"/>
      <selection pane="bottomLeft" activeCell="E12" sqref="E12:E48"/>
      <pageMargins left="0.74803149606299213" right="0.62992125984251968" top="0.70866141732283472" bottom="0.70866141732283472" header="0.51181102362204722" footer="0.51181102362204722"/>
      <pageSetup paperSize="9" scale="67" orientation="portrait" r:id="rId1"/>
      <headerFooter alignWithMargins="0">
        <oddFooter>&amp;C&amp;"Arial Narrow,Regular"Page &amp;P of &amp;N</oddFooter>
      </headerFooter>
    </customSheetView>
  </customSheetViews>
  <mergeCells count="4">
    <mergeCell ref="E4:L4"/>
    <mergeCell ref="E5:L5"/>
    <mergeCell ref="D22:F22"/>
    <mergeCell ref="D42:F42"/>
  </mergeCells>
  <phoneticPr fontId="0" type="noConversion"/>
  <printOptions horizontalCentered="1"/>
  <pageMargins left="0.31496062992125984" right="0.31496062992125984" top="0.35433070866141736" bottom="0.35433070866141736" header="0.11811023622047245" footer="0.11811023622047245"/>
  <pageSetup paperSize="9" scale="89" fitToHeight="0" orientation="portrait" r:id="rId2"/>
  <headerFooter alignWithMargins="0">
    <oddFooter>&amp;C&amp;P</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FF00"/>
  </sheetPr>
  <dimension ref="A1:Z140"/>
  <sheetViews>
    <sheetView showGridLines="0" view="pageBreakPreview" zoomScaleNormal="100" zoomScaleSheetLayoutView="100" workbookViewId="0"/>
  </sheetViews>
  <sheetFormatPr defaultColWidth="9" defaultRowHeight="14.4" x14ac:dyDescent="0.25"/>
  <cols>
    <col min="1" max="1" width="12" style="40" customWidth="1"/>
    <col min="2" max="2" width="8.69921875" style="40" customWidth="1"/>
    <col min="3" max="3" width="5.69921875" style="206" customWidth="1"/>
    <col min="4" max="4" width="3.3984375" style="206" customWidth="1"/>
    <col min="5" max="5" width="31.5" style="60" customWidth="1"/>
    <col min="6" max="6" width="29.5" style="60" customWidth="1"/>
    <col min="7" max="7" width="18.09765625" style="60" customWidth="1"/>
    <col min="8" max="8" width="0.8984375" style="206" customWidth="1"/>
    <col min="9" max="9" width="37.8984375" style="300" customWidth="1"/>
    <col min="10" max="16384" width="9" style="206"/>
  </cols>
  <sheetData>
    <row r="1" spans="1:12" ht="18" x14ac:dyDescent="0.25">
      <c r="A1" s="53" t="s">
        <v>206</v>
      </c>
      <c r="C1" s="80" t="str">
        <f>IF('Merge Details_Printing instr'!$B$11="Insert details here",'Merge Details_Printing instr'!$A$11,'Merge Details_Printing instr'!$B$11)</f>
        <v>Council Name</v>
      </c>
      <c r="F1" s="546" t="s">
        <v>303</v>
      </c>
      <c r="G1" s="545"/>
      <c r="H1" s="57"/>
    </row>
    <row r="2" spans="1:12" s="208" customFormat="1" ht="23.25" customHeight="1" x14ac:dyDescent="0.25">
      <c r="A2" s="146" t="s">
        <v>696</v>
      </c>
      <c r="B2" s="152" t="s">
        <v>207</v>
      </c>
      <c r="C2" s="85" t="str">
        <f>+'Merge Details_Printing instr'!A12</f>
        <v>2023-2024 Financial Report</v>
      </c>
      <c r="D2" s="207"/>
      <c r="E2" s="271"/>
      <c r="F2" s="537" t="str">
        <f>'Merge Details_Printing instr'!$A$14</f>
        <v>For the Year Ended 30 June 2024</v>
      </c>
      <c r="G2" s="537"/>
      <c r="H2" s="57"/>
      <c r="I2" s="300"/>
    </row>
    <row r="3" spans="1:12" ht="6.75" customHeight="1" x14ac:dyDescent="0.25">
      <c r="B3" s="206"/>
      <c r="C3" s="209"/>
      <c r="D3" s="210"/>
      <c r="E3" s="198"/>
      <c r="F3" s="198"/>
      <c r="G3" s="198"/>
      <c r="H3" s="57"/>
    </row>
    <row r="4" spans="1:12" ht="14.25" customHeight="1" x14ac:dyDescent="0.3">
      <c r="A4" s="267"/>
      <c r="B4" s="206"/>
      <c r="C4" s="878" t="s">
        <v>1309</v>
      </c>
      <c r="D4" s="2116" t="s">
        <v>1305</v>
      </c>
      <c r="E4" s="2116"/>
      <c r="F4" s="779"/>
      <c r="G4" s="779"/>
      <c r="H4" s="57"/>
    </row>
    <row r="5" spans="1:12" s="46" customFormat="1" ht="15" x14ac:dyDescent="0.3">
      <c r="A5" s="146"/>
      <c r="C5" s="856">
        <v>1.1000000000000001</v>
      </c>
      <c r="D5" s="856" t="s">
        <v>1125</v>
      </c>
      <c r="E5" s="772"/>
      <c r="F5" s="772"/>
      <c r="G5" s="772"/>
      <c r="H5" s="37"/>
      <c r="I5" s="289"/>
      <c r="L5" s="231" t="s">
        <v>795</v>
      </c>
    </row>
    <row r="6" spans="1:12" s="46" customFormat="1" ht="32.25" customHeight="1" x14ac:dyDescent="0.3">
      <c r="A6" s="139">
        <v>101</v>
      </c>
      <c r="B6" s="139" t="s">
        <v>680</v>
      </c>
      <c r="C6" s="879"/>
      <c r="D6" s="785" t="s">
        <v>204</v>
      </c>
      <c r="E6" s="2104" t="s">
        <v>1760</v>
      </c>
      <c r="F6" s="2104"/>
      <c r="G6" s="2104"/>
      <c r="H6" s="37"/>
      <c r="I6" s="289"/>
      <c r="L6" s="290" t="s">
        <v>795</v>
      </c>
    </row>
    <row r="7" spans="1:12" s="46" customFormat="1" ht="15" x14ac:dyDescent="0.3">
      <c r="A7" s="256">
        <v>101</v>
      </c>
      <c r="B7" s="139" t="s">
        <v>681</v>
      </c>
      <c r="C7" s="880"/>
      <c r="D7" s="785" t="s">
        <v>90</v>
      </c>
      <c r="E7" s="817" t="s">
        <v>51</v>
      </c>
      <c r="F7" s="817"/>
      <c r="G7" s="772"/>
      <c r="H7" s="37"/>
      <c r="I7" s="289"/>
      <c r="L7" s="231" t="s">
        <v>795</v>
      </c>
    </row>
    <row r="8" spans="1:12" s="46" customFormat="1" ht="16.5" customHeight="1" x14ac:dyDescent="0.3">
      <c r="A8" s="2111" t="s">
        <v>787</v>
      </c>
      <c r="B8" s="139"/>
      <c r="C8" s="880"/>
      <c r="D8" s="62"/>
      <c r="E8" s="881" t="s">
        <v>789</v>
      </c>
      <c r="F8" s="881"/>
      <c r="G8" s="882"/>
      <c r="I8" s="299"/>
      <c r="L8" s="231" t="s">
        <v>795</v>
      </c>
    </row>
    <row r="9" spans="1:12" s="46" customFormat="1" ht="16.5" customHeight="1" x14ac:dyDescent="0.3">
      <c r="A9" s="2111"/>
      <c r="B9" s="153"/>
      <c r="C9" s="880"/>
      <c r="D9" s="880"/>
      <c r="E9" s="883" t="s">
        <v>790</v>
      </c>
      <c r="F9" s="883"/>
      <c r="G9" s="882"/>
      <c r="H9" s="37"/>
      <c r="I9" s="299" t="s">
        <v>795</v>
      </c>
      <c r="L9" s="231" t="s">
        <v>795</v>
      </c>
    </row>
    <row r="10" spans="1:12" s="46" customFormat="1" ht="15" x14ac:dyDescent="0.3">
      <c r="A10" s="2111"/>
      <c r="B10" s="153"/>
      <c r="C10" s="880"/>
      <c r="D10" s="880"/>
      <c r="E10" s="881" t="s">
        <v>788</v>
      </c>
      <c r="F10" s="881"/>
      <c r="G10" s="882"/>
      <c r="H10" s="37"/>
      <c r="I10" s="289"/>
      <c r="L10" s="231" t="s">
        <v>795</v>
      </c>
    </row>
    <row r="11" spans="1:12" s="46" customFormat="1" ht="16.5" customHeight="1" x14ac:dyDescent="0.3">
      <c r="A11" s="139"/>
      <c r="B11" s="153"/>
      <c r="C11" s="880"/>
      <c r="D11" s="880"/>
      <c r="E11" s="772"/>
      <c r="F11" s="772"/>
      <c r="G11" s="772"/>
      <c r="H11" s="37"/>
      <c r="I11" s="289"/>
      <c r="L11" s="231" t="s">
        <v>795</v>
      </c>
    </row>
    <row r="12" spans="1:12" s="46" customFormat="1" ht="16.5" customHeight="1" x14ac:dyDescent="0.3">
      <c r="A12" s="256"/>
      <c r="B12" s="153"/>
      <c r="C12" s="856">
        <v>1.2</v>
      </c>
      <c r="D12" s="856" t="s">
        <v>4</v>
      </c>
      <c r="E12" s="880"/>
      <c r="F12" s="880"/>
      <c r="G12" s="772"/>
      <c r="H12" s="363"/>
      <c r="I12" s="299"/>
      <c r="L12" s="231"/>
    </row>
    <row r="13" spans="1:12" s="46" customFormat="1" ht="86.25" customHeight="1" x14ac:dyDescent="0.3">
      <c r="A13" s="690">
        <v>1054</v>
      </c>
      <c r="B13" s="692" t="s">
        <v>1616</v>
      </c>
      <c r="C13" s="880"/>
      <c r="D13" s="880"/>
      <c r="E13" s="2110" t="s">
        <v>1849</v>
      </c>
      <c r="F13" s="2110"/>
      <c r="G13" s="2110"/>
      <c r="H13" s="402"/>
      <c r="I13" s="302"/>
      <c r="L13" s="231"/>
    </row>
    <row r="14" spans="1:12" s="46" customFormat="1" ht="15" x14ac:dyDescent="0.3">
      <c r="A14" s="256">
        <v>101</v>
      </c>
      <c r="B14" s="139" t="s">
        <v>1617</v>
      </c>
      <c r="C14" s="880"/>
      <c r="D14" s="880"/>
      <c r="E14" s="2110" t="s">
        <v>977</v>
      </c>
      <c r="F14" s="2110"/>
      <c r="G14" s="2110"/>
      <c r="H14" s="400"/>
      <c r="I14" s="299"/>
      <c r="L14" s="231"/>
    </row>
    <row r="15" spans="1:12" s="46" customFormat="1" ht="4.5" customHeight="1" x14ac:dyDescent="0.3">
      <c r="A15" s="256"/>
      <c r="B15" s="256"/>
      <c r="C15" s="880"/>
      <c r="D15" s="880"/>
      <c r="E15" s="877"/>
      <c r="F15" s="877"/>
      <c r="G15" s="877"/>
      <c r="H15" s="400"/>
      <c r="I15" s="299"/>
      <c r="L15" s="231"/>
    </row>
    <row r="16" spans="1:12" s="46" customFormat="1" ht="15" x14ac:dyDescent="0.3">
      <c r="A16" s="256">
        <v>101</v>
      </c>
      <c r="B16" s="256" t="s">
        <v>1128</v>
      </c>
      <c r="C16" s="880"/>
      <c r="D16" s="880"/>
      <c r="E16" s="2113" t="s">
        <v>1147</v>
      </c>
      <c r="F16" s="2113"/>
      <c r="G16" s="2113"/>
      <c r="H16" s="400"/>
      <c r="I16" s="302" t="s">
        <v>1337</v>
      </c>
      <c r="L16" s="231"/>
    </row>
    <row r="17" spans="1:15" s="46" customFormat="1" ht="4.5" customHeight="1" x14ac:dyDescent="0.3">
      <c r="A17" s="256"/>
      <c r="B17" s="256"/>
      <c r="C17" s="880"/>
      <c r="D17" s="880"/>
      <c r="E17" s="877"/>
      <c r="F17" s="877"/>
      <c r="G17" s="877"/>
      <c r="H17" s="400"/>
      <c r="I17" s="299"/>
      <c r="L17" s="231"/>
    </row>
    <row r="18" spans="1:15" s="46" customFormat="1" ht="33" customHeight="1" x14ac:dyDescent="0.3">
      <c r="A18" s="256"/>
      <c r="B18" s="256"/>
      <c r="C18" s="880"/>
      <c r="D18" s="880"/>
      <c r="E18" s="2113" t="str">
        <f>"This financial report has been prepared under the historical cost convention, except where specifically stated in notes "&amp;'Notes 2 to 5'!E456&amp;", "&amp;'Notes 2 to 5'!E485&amp;", "&amp;'Notes 2 to 5'!E566&amp;", "&amp;'Note 6'!F5&amp;", "&amp;'Note 6 to 8'!E5&amp;", "&amp;'Note 6 to 8'!E142&amp;", "&amp;'Note 6 to 8'!E282&amp;" and "&amp;'Note 10.4'!E4&amp;""&amp;'Note 10.4'!E18&amp;"."</f>
        <v>This financial report has been prepared under the historical cost convention, except where specifically stated in notes 4.3, 4.5, 5.2, 6.1, 6.2, 7.3, 8.1 and 10.4(d) .</v>
      </c>
      <c r="F18" s="2113"/>
      <c r="G18" s="2113"/>
      <c r="H18" s="448"/>
      <c r="I18" s="2105" t="s">
        <v>1316</v>
      </c>
      <c r="J18" s="2105"/>
      <c r="K18" s="2105"/>
      <c r="L18" s="2105"/>
      <c r="M18" s="449"/>
      <c r="N18" s="449"/>
      <c r="O18" s="449"/>
    </row>
    <row r="19" spans="1:15" s="46" customFormat="1" ht="9.75" customHeight="1" x14ac:dyDescent="0.3">
      <c r="A19" s="267"/>
      <c r="B19" s="267"/>
      <c r="C19" s="880"/>
      <c r="D19" s="880"/>
      <c r="E19" s="884"/>
      <c r="F19" s="885"/>
      <c r="G19" s="885"/>
      <c r="H19" s="441"/>
      <c r="I19" s="2105"/>
      <c r="J19" s="2105"/>
      <c r="K19" s="2105"/>
      <c r="L19" s="2105"/>
    </row>
    <row r="20" spans="1:15" s="46" customFormat="1" ht="43.5" customHeight="1" x14ac:dyDescent="0.3">
      <c r="A20" s="139">
        <v>108</v>
      </c>
      <c r="B20" s="234">
        <v>13</v>
      </c>
      <c r="C20" s="1990"/>
      <c r="D20" s="1991"/>
      <c r="E20" s="2114" t="s">
        <v>2040</v>
      </c>
      <c r="F20" s="2114"/>
      <c r="G20" s="2114"/>
      <c r="H20" s="400"/>
      <c r="I20" s="2105"/>
      <c r="J20" s="2105"/>
      <c r="K20" s="2105"/>
      <c r="L20" s="2105"/>
    </row>
    <row r="21" spans="1:15" s="46" customFormat="1" ht="13.5" customHeight="1" x14ac:dyDescent="0.25">
      <c r="A21" s="139"/>
      <c r="B21" s="139"/>
      <c r="C21" s="886"/>
      <c r="D21" s="772"/>
      <c r="E21" s="772"/>
      <c r="F21" s="772"/>
      <c r="G21" s="772"/>
      <c r="H21" s="400"/>
      <c r="I21" s="302"/>
      <c r="L21" s="232"/>
    </row>
    <row r="22" spans="1:15" s="46" customFormat="1" ht="47.25" customHeight="1" x14ac:dyDescent="0.3">
      <c r="A22" s="139"/>
      <c r="B22" s="139"/>
      <c r="C22" s="887"/>
      <c r="D22" s="888"/>
      <c r="E22" s="2115" t="str">
        <f>"All entities controlled by Council that have material assets or liabilities, such as Special Committees of Management, and material subsidiaries or joint ventures,"&amp;" have been included in this financial report.  All transactions between these entities and Council have been eliminated in full.  Details of entities not included in this financial report based on their materiality are detailed in note "&amp;'Note 10.3'!D4&amp;"."</f>
        <v>All entities controlled by Council that have material assets or liabilities, such as Special Committees of Management, and material subsidiaries or joint ventures, have been included in this financial report.  All transactions between these entities and Council have been eliminated in full.  Details of entities not included in this financial report based on their materiality are detailed in note 10.3.</v>
      </c>
      <c r="F22" s="2115"/>
      <c r="G22" s="2115"/>
      <c r="H22" s="400"/>
      <c r="I22" s="527" t="s">
        <v>1338</v>
      </c>
      <c r="L22" s="232"/>
    </row>
    <row r="23" spans="1:15" s="46" customFormat="1" ht="15" x14ac:dyDescent="0.3">
      <c r="A23" s="256"/>
      <c r="B23" s="256"/>
      <c r="C23" s="887"/>
      <c r="D23" s="880"/>
      <c r="E23" s="889"/>
      <c r="F23" s="889"/>
      <c r="G23" s="889"/>
      <c r="H23" s="400"/>
      <c r="I23" s="302"/>
      <c r="L23" s="232"/>
    </row>
    <row r="24" spans="1:15" s="46" customFormat="1" ht="16.5" customHeight="1" x14ac:dyDescent="0.3">
      <c r="A24" s="256"/>
      <c r="B24" s="257"/>
      <c r="C24" s="856">
        <v>1.3</v>
      </c>
      <c r="D24" s="856" t="s">
        <v>1127</v>
      </c>
      <c r="E24" s="772"/>
      <c r="F24" s="772"/>
      <c r="G24" s="772"/>
      <c r="H24" s="37"/>
      <c r="I24" s="289"/>
      <c r="L24" s="232"/>
    </row>
    <row r="25" spans="1:15" s="46" customFormat="1" ht="15" x14ac:dyDescent="0.3">
      <c r="A25" s="256">
        <v>101</v>
      </c>
      <c r="B25" s="256">
        <v>122</v>
      </c>
      <c r="C25" s="887"/>
      <c r="D25" s="890"/>
      <c r="E25" s="2112" t="s">
        <v>389</v>
      </c>
      <c r="F25" s="2112"/>
      <c r="G25" s="2112"/>
      <c r="H25" s="37"/>
      <c r="L25" s="232"/>
    </row>
    <row r="26" spans="1:15" s="46" customFormat="1" ht="68.25" customHeight="1" x14ac:dyDescent="0.3">
      <c r="A26" s="139"/>
      <c r="B26" s="139"/>
      <c r="C26" s="887"/>
      <c r="D26" s="880"/>
      <c r="E26" s="2104" t="s">
        <v>252</v>
      </c>
      <c r="F26" s="2104"/>
      <c r="G26" s="2104"/>
      <c r="H26" s="37"/>
      <c r="I26" s="2105" t="s">
        <v>1178</v>
      </c>
      <c r="J26" s="2105"/>
      <c r="K26" s="2105"/>
      <c r="L26" s="232"/>
    </row>
    <row r="27" spans="1:15" s="46" customFormat="1" ht="4.5" customHeight="1" x14ac:dyDescent="0.3">
      <c r="A27" s="139"/>
      <c r="B27" s="139"/>
      <c r="C27" s="887"/>
      <c r="D27" s="890"/>
      <c r="E27" s="890"/>
      <c r="F27" s="890"/>
      <c r="G27" s="890"/>
      <c r="H27" s="37"/>
      <c r="I27" s="289"/>
      <c r="L27" s="232"/>
    </row>
    <row r="28" spans="1:15" s="46" customFormat="1" ht="48.75" customHeight="1" x14ac:dyDescent="0.3">
      <c r="A28" s="139"/>
      <c r="B28" s="139"/>
      <c r="C28" s="887"/>
      <c r="D28" s="890"/>
      <c r="E28" s="2110" t="s">
        <v>253</v>
      </c>
      <c r="F28" s="2110"/>
      <c r="G28" s="2110"/>
      <c r="H28" s="37"/>
      <c r="I28" s="289"/>
      <c r="L28" s="232"/>
    </row>
    <row r="29" spans="1:15" s="46" customFormat="1" ht="4.5" customHeight="1" x14ac:dyDescent="0.3">
      <c r="A29" s="139"/>
      <c r="B29" s="139"/>
      <c r="C29" s="887"/>
      <c r="D29" s="890"/>
      <c r="E29" s="772"/>
      <c r="F29" s="772"/>
      <c r="G29" s="772"/>
      <c r="H29" s="37"/>
      <c r="I29" s="289"/>
      <c r="L29" s="232"/>
    </row>
    <row r="30" spans="1:15" s="46" customFormat="1" ht="37.5" customHeight="1" x14ac:dyDescent="0.3">
      <c r="A30" s="139"/>
      <c r="B30" s="139"/>
      <c r="C30" s="887"/>
      <c r="D30" s="890"/>
      <c r="E30" s="2110" t="s">
        <v>723</v>
      </c>
      <c r="F30" s="2110"/>
      <c r="G30" s="2110"/>
      <c r="H30" s="37"/>
      <c r="I30" s="289"/>
      <c r="L30" s="232"/>
    </row>
    <row r="31" spans="1:15" s="46" customFormat="1" ht="6" customHeight="1" x14ac:dyDescent="0.3">
      <c r="A31" s="256"/>
      <c r="B31" s="256"/>
      <c r="C31" s="880"/>
      <c r="D31" s="880"/>
      <c r="E31" s="2112"/>
      <c r="F31" s="2112"/>
      <c r="G31" s="2112"/>
      <c r="H31" s="206"/>
      <c r="I31" s="300"/>
      <c r="L31" s="232"/>
    </row>
    <row r="32" spans="1:15" s="46" customFormat="1" ht="15" x14ac:dyDescent="0.3">
      <c r="A32" s="256"/>
      <c r="B32" s="256"/>
      <c r="C32" s="887"/>
      <c r="D32" s="890"/>
      <c r="E32" s="2117" t="s">
        <v>554</v>
      </c>
      <c r="F32" s="2117"/>
      <c r="G32" s="2117"/>
      <c r="H32" s="37"/>
      <c r="I32" s="288"/>
      <c r="L32" s="232"/>
    </row>
    <row r="33" spans="1:12" s="46" customFormat="1" ht="27" customHeight="1" x14ac:dyDescent="0.3">
      <c r="A33" s="139"/>
      <c r="B33" s="139"/>
      <c r="C33" s="887"/>
      <c r="D33" s="891"/>
      <c r="E33" s="2104" t="str">
        <f>"Assumptions are utilised in the determination of Council’s employee entitlement provisions. These assumptions are discussed in note "&amp;'Note 6 to 8'!E142&amp;"."</f>
        <v>Assumptions are utilised in the determination of Council’s employee entitlement provisions. These assumptions are discussed in note 7.3.</v>
      </c>
      <c r="F33" s="2104"/>
      <c r="G33" s="2104"/>
      <c r="H33" s="37"/>
      <c r="I33" s="354" t="s">
        <v>1339</v>
      </c>
      <c r="L33" s="232"/>
    </row>
    <row r="34" spans="1:12" s="46" customFormat="1" ht="4.5" customHeight="1" x14ac:dyDescent="0.3">
      <c r="A34" s="139"/>
      <c r="B34" s="139"/>
      <c r="C34" s="887"/>
      <c r="D34" s="890"/>
      <c r="E34" s="892"/>
      <c r="F34" s="892"/>
      <c r="G34" s="892"/>
      <c r="H34" s="37"/>
      <c r="I34" s="289"/>
      <c r="L34" s="232"/>
    </row>
    <row r="35" spans="1:12" s="46" customFormat="1" ht="15" x14ac:dyDescent="0.3">
      <c r="A35" s="139"/>
      <c r="B35" s="139"/>
      <c r="C35" s="887"/>
      <c r="D35" s="890"/>
      <c r="E35" s="2117" t="s">
        <v>553</v>
      </c>
      <c r="F35" s="2117"/>
      <c r="G35" s="2117"/>
      <c r="H35" s="37"/>
      <c r="I35" s="289"/>
      <c r="L35" s="232"/>
    </row>
    <row r="36" spans="1:12" s="46" customFormat="1" ht="30" customHeight="1" x14ac:dyDescent="0.3">
      <c r="A36" s="139"/>
      <c r="B36" s="139"/>
      <c r="C36" s="887"/>
      <c r="D36" s="891"/>
      <c r="E36" s="2104" t="str">
        <f>"Actuarial assumptions are utilised in the determination of Council’s defined benefit superannuation fund obligations. These assumptions are discussed in note "&amp;'Note 9'!D133&amp;"."</f>
        <v>Actuarial assumptions are utilised in the determination of Council’s defined benefit superannuation fund obligations. These assumptions are discussed in note 9.7.</v>
      </c>
      <c r="F36" s="2104"/>
      <c r="G36" s="2104"/>
      <c r="H36" s="37"/>
      <c r="I36" s="354" t="s">
        <v>1339</v>
      </c>
      <c r="L36" s="232"/>
    </row>
    <row r="37" spans="1:12" s="46" customFormat="1" ht="4.5" customHeight="1" x14ac:dyDescent="0.3">
      <c r="A37" s="139"/>
      <c r="B37" s="139"/>
      <c r="C37" s="887"/>
      <c r="D37" s="890"/>
      <c r="E37" s="892"/>
      <c r="F37" s="892"/>
      <c r="G37" s="892"/>
      <c r="H37" s="37"/>
      <c r="I37" s="289"/>
      <c r="L37" s="232"/>
    </row>
    <row r="38" spans="1:12" s="46" customFormat="1" ht="15" x14ac:dyDescent="0.3">
      <c r="A38" s="139"/>
      <c r="B38" s="139"/>
      <c r="C38" s="887"/>
      <c r="D38" s="890"/>
      <c r="E38" s="2117" t="s">
        <v>1400</v>
      </c>
      <c r="F38" s="2117"/>
      <c r="G38" s="2117"/>
      <c r="H38" s="37"/>
      <c r="I38" s="289"/>
      <c r="L38" s="232"/>
    </row>
    <row r="39" spans="1:12" s="46" customFormat="1" ht="30" customHeight="1" x14ac:dyDescent="0.3">
      <c r="A39" s="139"/>
      <c r="B39" s="139"/>
      <c r="C39" s="887"/>
      <c r="D39" s="891"/>
      <c r="E39" s="2104" t="str">
        <f>"Assumptions and judgements are utilised in determining the fair value of Council’s property, infrastructure, plant and equipment including useful lives and depreciation rates. These assumptions are discussed in note "&amp;'Note 6'!F5&amp;"."</f>
        <v>Assumptions and judgements are utilised in determining the fair value of Council’s property, infrastructure, plant and equipment including useful lives and depreciation rates. These assumptions are discussed in note 6.1.</v>
      </c>
      <c r="F39" s="2104"/>
      <c r="G39" s="2104"/>
      <c r="H39" s="37"/>
      <c r="I39" s="354" t="s">
        <v>1339</v>
      </c>
      <c r="L39" s="232"/>
    </row>
    <row r="40" spans="1:12" s="46" customFormat="1" ht="4.5" customHeight="1" x14ac:dyDescent="0.3">
      <c r="A40" s="256"/>
      <c r="B40" s="256"/>
      <c r="C40" s="887"/>
      <c r="D40" s="890"/>
      <c r="E40" s="892"/>
      <c r="F40" s="892"/>
      <c r="G40" s="892"/>
      <c r="H40" s="400"/>
      <c r="I40" s="289"/>
      <c r="L40" s="232"/>
    </row>
    <row r="41" spans="1:12" s="46" customFormat="1" ht="15" x14ac:dyDescent="0.3">
      <c r="A41" s="256"/>
      <c r="B41" s="256"/>
      <c r="C41" s="887"/>
      <c r="D41" s="890"/>
      <c r="E41" s="2117" t="s">
        <v>544</v>
      </c>
      <c r="F41" s="2117"/>
      <c r="G41" s="2117"/>
      <c r="H41" s="264"/>
      <c r="I41" s="289"/>
      <c r="L41" s="232"/>
    </row>
    <row r="42" spans="1:12" s="46" customFormat="1" ht="15" x14ac:dyDescent="0.3">
      <c r="A42" s="256"/>
      <c r="B42" s="256"/>
      <c r="C42" s="887"/>
      <c r="D42" s="891"/>
      <c r="E42" s="2104" t="str">
        <f>"Assumptions utilised in the determination of Council’s valuation of its investment in TasWater are  discussed in note "&amp;'Notes 2 to 5'!E566&amp;"."</f>
        <v>Assumptions utilised in the determination of Council’s valuation of its investment in TasWater are  discussed in note 5.2.</v>
      </c>
      <c r="F42" s="2104"/>
      <c r="G42" s="2104"/>
      <c r="H42" s="264"/>
      <c r="I42" s="354" t="s">
        <v>1339</v>
      </c>
      <c r="L42" s="232"/>
    </row>
    <row r="43" spans="1:12" s="46" customFormat="1" ht="4.5" customHeight="1" x14ac:dyDescent="0.3">
      <c r="A43" s="256"/>
      <c r="B43" s="256"/>
      <c r="C43" s="887"/>
      <c r="D43" s="890"/>
      <c r="E43" s="892"/>
      <c r="F43" s="892"/>
      <c r="G43" s="892"/>
      <c r="H43" s="400"/>
      <c r="I43" s="289"/>
      <c r="L43" s="232"/>
    </row>
    <row r="44" spans="1:12" s="46" customFormat="1" ht="15" x14ac:dyDescent="0.3">
      <c r="A44" s="256"/>
      <c r="B44" s="256"/>
      <c r="C44" s="887"/>
      <c r="D44" s="890"/>
      <c r="E44" s="893" t="s">
        <v>740</v>
      </c>
      <c r="F44" s="893"/>
      <c r="G44" s="892"/>
      <c r="H44" s="270"/>
      <c r="I44" s="289"/>
      <c r="L44" s="232"/>
    </row>
    <row r="45" spans="1:12" s="46" customFormat="1" ht="15" x14ac:dyDescent="0.3">
      <c r="A45" s="256"/>
      <c r="B45" s="256"/>
      <c r="C45" s="887"/>
      <c r="D45" s="890"/>
      <c r="E45" s="894" t="s">
        <v>1850</v>
      </c>
      <c r="F45" s="894"/>
      <c r="G45" s="892"/>
      <c r="H45" s="270"/>
      <c r="I45" s="354" t="s">
        <v>1129</v>
      </c>
      <c r="L45" s="232"/>
    </row>
    <row r="46" spans="1:12" s="46" customFormat="1" ht="4.5" customHeight="1" thickBot="1" x14ac:dyDescent="0.35">
      <c r="A46" s="139"/>
      <c r="B46" s="139"/>
      <c r="C46" s="887"/>
      <c r="D46" s="772"/>
      <c r="E46" s="772"/>
      <c r="F46" s="772"/>
      <c r="G46" s="772"/>
      <c r="H46" s="37"/>
      <c r="I46" s="289"/>
      <c r="L46" s="232"/>
    </row>
    <row r="47" spans="1:12" s="46" customFormat="1" ht="42.75" customHeight="1" x14ac:dyDescent="0.3">
      <c r="A47" s="139"/>
      <c r="B47" s="139"/>
      <c r="C47" s="887"/>
      <c r="D47" s="880"/>
      <c r="E47" s="2121" t="s">
        <v>254</v>
      </c>
      <c r="F47" s="2122"/>
      <c r="G47" s="2123"/>
      <c r="H47" s="37"/>
      <c r="I47" s="289"/>
      <c r="L47" s="232"/>
    </row>
    <row r="48" spans="1:12" s="46" customFormat="1" ht="3.75" customHeight="1" x14ac:dyDescent="0.3">
      <c r="A48" s="139"/>
      <c r="B48" s="139"/>
      <c r="C48" s="887"/>
      <c r="D48" s="880"/>
      <c r="E48" s="895"/>
      <c r="F48" s="824"/>
      <c r="G48" s="896"/>
      <c r="H48" s="37"/>
      <c r="I48" s="289"/>
      <c r="L48" s="232"/>
    </row>
    <row r="49" spans="1:26" s="46" customFormat="1" ht="40.5" customHeight="1" x14ac:dyDescent="0.3">
      <c r="A49" s="139"/>
      <c r="B49" s="139"/>
      <c r="C49" s="887"/>
      <c r="D49" s="880"/>
      <c r="E49" s="2118" t="s">
        <v>1317</v>
      </c>
      <c r="F49" s="2119"/>
      <c r="G49" s="2120"/>
      <c r="H49" s="37"/>
      <c r="I49" s="289"/>
      <c r="L49" s="232"/>
    </row>
    <row r="50" spans="1:26" s="46" customFormat="1" ht="15" x14ac:dyDescent="0.3">
      <c r="A50" s="139"/>
      <c r="B50" s="139"/>
      <c r="C50" s="887"/>
      <c r="D50" s="880"/>
      <c r="E50" s="897" t="s">
        <v>1851</v>
      </c>
      <c r="F50" s="898" t="s">
        <v>1852</v>
      </c>
      <c r="G50" s="899"/>
      <c r="H50" s="37"/>
      <c r="I50" s="289"/>
      <c r="L50" s="232"/>
    </row>
    <row r="51" spans="1:26" s="46" customFormat="1" ht="15" x14ac:dyDescent="0.3">
      <c r="A51" s="139"/>
      <c r="B51" s="139"/>
      <c r="C51" s="887"/>
      <c r="D51" s="880"/>
      <c r="E51" s="897" t="s">
        <v>1853</v>
      </c>
      <c r="F51" s="900" t="s">
        <v>1854</v>
      </c>
      <c r="G51" s="899"/>
      <c r="H51" s="37"/>
      <c r="I51" s="289"/>
      <c r="L51" s="232"/>
    </row>
    <row r="52" spans="1:26" s="46" customFormat="1" ht="15.6" thickBot="1" x14ac:dyDescent="0.35">
      <c r="A52" s="139"/>
      <c r="B52" s="139"/>
      <c r="C52" s="887"/>
      <c r="D52" s="880"/>
      <c r="E52" s="901" t="s">
        <v>1855</v>
      </c>
      <c r="F52" s="902"/>
      <c r="G52" s="903"/>
      <c r="H52" s="37"/>
      <c r="I52" s="289"/>
    </row>
    <row r="53" spans="1:26" s="46" customFormat="1" ht="15" x14ac:dyDescent="0.3">
      <c r="A53" s="704"/>
      <c r="B53" s="704"/>
      <c r="C53" s="887"/>
      <c r="D53" s="887"/>
      <c r="E53" s="887"/>
      <c r="F53" s="887"/>
      <c r="G53" s="887"/>
      <c r="H53" s="211"/>
      <c r="I53" s="211"/>
    </row>
    <row r="54" spans="1:26" s="46" customFormat="1" ht="15" x14ac:dyDescent="0.3">
      <c r="A54" s="704"/>
      <c r="B54" s="704"/>
      <c r="C54" s="904">
        <v>1.4</v>
      </c>
      <c r="D54" s="905" t="s">
        <v>714</v>
      </c>
      <c r="E54" s="220"/>
      <c r="F54" s="219"/>
      <c r="G54" s="219"/>
      <c r="H54" s="211"/>
      <c r="I54" s="490" t="s">
        <v>1812</v>
      </c>
    </row>
    <row r="55" spans="1:26" s="6" customFormat="1" ht="51.75" customHeight="1" thickBot="1" x14ac:dyDescent="0.35">
      <c r="A55" s="505" t="s">
        <v>722</v>
      </c>
      <c r="B55" s="704"/>
      <c r="C55" s="220"/>
      <c r="D55" s="219"/>
      <c r="E55" s="2109" t="s">
        <v>1856</v>
      </c>
      <c r="F55" s="2109"/>
      <c r="G55" s="2109"/>
      <c r="H55" s="216"/>
      <c r="I55" s="490" t="s">
        <v>715</v>
      </c>
      <c r="J55" s="216"/>
      <c r="K55" s="216"/>
      <c r="L55" s="14"/>
      <c r="M55" s="489"/>
      <c r="N55" s="489"/>
      <c r="P55" s="317"/>
      <c r="Q55" s="317"/>
      <c r="R55" s="317"/>
      <c r="S55" s="317"/>
      <c r="T55" s="317"/>
      <c r="U55" s="317"/>
      <c r="V55" s="317"/>
      <c r="W55" s="317"/>
      <c r="X55" s="317"/>
    </row>
    <row r="56" spans="1:26" s="6" customFormat="1" ht="27" customHeight="1" x14ac:dyDescent="0.3">
      <c r="A56" s="2102" t="s">
        <v>1621</v>
      </c>
      <c r="B56" s="745"/>
      <c r="C56" s="220"/>
      <c r="D56" s="906"/>
      <c r="E56" s="2126" t="s">
        <v>1754</v>
      </c>
      <c r="F56" s="2127"/>
      <c r="G56" s="2128"/>
      <c r="H56" s="746"/>
      <c r="I56" s="2103" t="s">
        <v>721</v>
      </c>
      <c r="J56" s="2103"/>
      <c r="K56" s="2103"/>
      <c r="L56" s="2103"/>
      <c r="O56" s="382"/>
      <c r="P56" s="382"/>
      <c r="R56" s="385"/>
      <c r="S56" s="383"/>
      <c r="T56" s="383"/>
      <c r="U56" s="383"/>
      <c r="V56" s="383"/>
      <c r="W56" s="383"/>
      <c r="X56" s="383"/>
      <c r="Y56" s="383"/>
      <c r="Z56" s="384"/>
    </row>
    <row r="57" spans="1:26" s="6" customFormat="1" ht="16.5" customHeight="1" thickBot="1" x14ac:dyDescent="0.35">
      <c r="A57" s="2102"/>
      <c r="B57" s="704"/>
      <c r="C57" s="220"/>
      <c r="D57" s="906"/>
      <c r="E57" s="2106" t="s">
        <v>1755</v>
      </c>
      <c r="F57" s="2107"/>
      <c r="G57" s="2108"/>
      <c r="H57" s="706"/>
      <c r="I57" s="2103"/>
      <c r="J57" s="2103"/>
      <c r="K57" s="2103"/>
      <c r="L57" s="2103"/>
      <c r="O57" s="382"/>
      <c r="P57" s="382"/>
      <c r="R57" s="385"/>
      <c r="S57" s="383"/>
      <c r="T57" s="383"/>
      <c r="U57" s="383"/>
      <c r="V57" s="383"/>
      <c r="W57" s="383"/>
      <c r="X57" s="383"/>
      <c r="Y57" s="383"/>
      <c r="Z57" s="384"/>
    </row>
    <row r="58" spans="1:26" s="6" customFormat="1" ht="16.5" customHeight="1" x14ac:dyDescent="0.3">
      <c r="A58" s="704"/>
      <c r="B58" s="704"/>
      <c r="C58" s="220"/>
      <c r="D58" s="906"/>
      <c r="E58" s="907"/>
      <c r="F58" s="907"/>
      <c r="G58" s="907"/>
      <c r="H58" s="706"/>
      <c r="I58" s="706"/>
      <c r="J58" s="706"/>
      <c r="K58" s="706"/>
      <c r="L58" s="14"/>
      <c r="O58" s="382"/>
      <c r="P58" s="382"/>
      <c r="R58" s="385"/>
      <c r="S58" s="383"/>
      <c r="T58" s="383"/>
      <c r="U58" s="383"/>
      <c r="V58" s="383"/>
      <c r="W58" s="383"/>
      <c r="X58" s="383"/>
      <c r="Y58" s="383"/>
      <c r="Z58" s="384"/>
    </row>
    <row r="59" spans="1:26" s="6" customFormat="1" ht="18" x14ac:dyDescent="0.3">
      <c r="A59" s="704"/>
      <c r="B59" s="704"/>
      <c r="C59" s="219"/>
      <c r="D59" s="219"/>
      <c r="E59" s="905" t="s">
        <v>716</v>
      </c>
      <c r="F59" s="219"/>
      <c r="G59" s="219"/>
      <c r="H59" s="216"/>
      <c r="I59" s="216"/>
      <c r="J59" s="216"/>
      <c r="K59" s="216"/>
      <c r="L59" s="14"/>
      <c r="O59" s="382"/>
      <c r="P59" s="382"/>
    </row>
    <row r="60" spans="1:26" s="6" customFormat="1" ht="7.5" customHeight="1" x14ac:dyDescent="0.3">
      <c r="A60" s="704"/>
      <c r="B60" s="704"/>
      <c r="C60" s="219"/>
      <c r="D60" s="219"/>
      <c r="E60" s="220"/>
      <c r="F60" s="219"/>
      <c r="G60" s="219"/>
      <c r="H60" s="216"/>
      <c r="I60" s="216"/>
      <c r="J60" s="216"/>
      <c r="K60" s="216"/>
      <c r="L60" s="14"/>
      <c r="O60" s="382"/>
      <c r="P60" s="382"/>
      <c r="Q60" s="386"/>
      <c r="R60" s="386"/>
      <c r="S60" s="383"/>
      <c r="T60" s="383"/>
      <c r="U60" s="383"/>
      <c r="V60" s="383"/>
      <c r="W60" s="383"/>
      <c r="X60" s="383"/>
      <c r="Y60" s="383"/>
      <c r="Z60" s="384"/>
    </row>
    <row r="61" spans="1:26" s="6" customFormat="1" ht="15" x14ac:dyDescent="0.3">
      <c r="A61" s="704"/>
      <c r="B61" s="704"/>
      <c r="C61" s="220"/>
      <c r="D61" s="905">
        <v>1</v>
      </c>
      <c r="E61" s="905" t="s">
        <v>257</v>
      </c>
      <c r="F61" s="219"/>
      <c r="G61" s="219"/>
      <c r="H61" s="216"/>
      <c r="I61" s="216"/>
      <c r="J61" s="216"/>
      <c r="K61" s="216"/>
      <c r="L61" s="14"/>
    </row>
    <row r="62" spans="1:26" s="6" customFormat="1" ht="39" customHeight="1" x14ac:dyDescent="0.3">
      <c r="A62" s="704"/>
      <c r="B62" s="704"/>
      <c r="C62" s="220"/>
      <c r="D62" s="219"/>
      <c r="E62" s="2124" t="s">
        <v>752</v>
      </c>
      <c r="F62" s="2124"/>
      <c r="G62" s="2124"/>
      <c r="H62" s="2125"/>
      <c r="I62" s="2125"/>
      <c r="J62" s="2125"/>
      <c r="K62" s="707"/>
      <c r="L62" s="14"/>
    </row>
    <row r="63" spans="1:26" s="6" customFormat="1" ht="15" x14ac:dyDescent="0.3">
      <c r="A63" s="704"/>
      <c r="B63" s="704"/>
      <c r="C63" s="220"/>
      <c r="D63" s="219"/>
      <c r="E63" s="907"/>
      <c r="F63" s="907"/>
      <c r="G63" s="907"/>
      <c r="H63" s="707"/>
      <c r="I63" s="707"/>
      <c r="J63" s="707"/>
      <c r="K63" s="707"/>
      <c r="L63" s="14"/>
    </row>
    <row r="64" spans="1:26" s="6" customFormat="1" ht="15" x14ac:dyDescent="0.3">
      <c r="A64" s="704"/>
      <c r="B64" s="704"/>
      <c r="C64" s="220"/>
      <c r="D64" s="905">
        <v>2</v>
      </c>
      <c r="E64" s="908" t="s">
        <v>258</v>
      </c>
      <c r="F64" s="909"/>
      <c r="G64" s="909"/>
      <c r="H64" s="310"/>
      <c r="I64" s="310"/>
      <c r="J64" s="310"/>
      <c r="K64" s="310"/>
      <c r="L64" s="14"/>
    </row>
    <row r="65" spans="1:12" s="6" customFormat="1" ht="15" x14ac:dyDescent="0.3">
      <c r="A65" s="704"/>
      <c r="B65" s="704"/>
      <c r="C65" s="220"/>
      <c r="D65" s="219"/>
      <c r="E65" s="2124" t="s">
        <v>719</v>
      </c>
      <c r="F65" s="2124"/>
      <c r="G65" s="2124"/>
      <c r="H65" s="2125"/>
      <c r="I65" s="2125"/>
      <c r="J65" s="2125"/>
      <c r="K65" s="707"/>
      <c r="L65" s="14"/>
    </row>
    <row r="66" spans="1:12" s="6" customFormat="1" ht="15" x14ac:dyDescent="0.3">
      <c r="A66" s="704"/>
      <c r="B66" s="704"/>
      <c r="C66" s="220"/>
      <c r="D66" s="219"/>
      <c r="E66" s="909"/>
      <c r="F66" s="909"/>
      <c r="G66" s="909"/>
      <c r="H66" s="310"/>
      <c r="I66" s="310"/>
      <c r="J66" s="310"/>
      <c r="K66" s="310"/>
      <c r="L66" s="14"/>
    </row>
    <row r="67" spans="1:12" s="6" customFormat="1" ht="15" x14ac:dyDescent="0.3">
      <c r="A67" s="704"/>
      <c r="B67" s="704"/>
      <c r="C67" s="220"/>
      <c r="D67" s="905">
        <v>3</v>
      </c>
      <c r="E67" s="905" t="s">
        <v>616</v>
      </c>
      <c r="F67" s="219"/>
      <c r="G67" s="219"/>
      <c r="H67" s="216"/>
      <c r="I67" s="216"/>
      <c r="J67" s="216"/>
      <c r="K67" s="216"/>
      <c r="L67" s="14"/>
    </row>
    <row r="68" spans="1:12" s="6" customFormat="1" ht="117.75" customHeight="1" x14ac:dyDescent="0.3">
      <c r="A68" s="704"/>
      <c r="B68" s="704"/>
      <c r="C68" s="220"/>
      <c r="D68" s="219"/>
      <c r="E68" s="2124" t="s">
        <v>1813</v>
      </c>
      <c r="F68" s="2124"/>
      <c r="G68" s="2124"/>
      <c r="H68" s="2125"/>
      <c r="I68" s="2125"/>
      <c r="J68" s="2125"/>
      <c r="K68" s="707"/>
      <c r="L68" s="14"/>
    </row>
    <row r="69" spans="1:12" s="6" customFormat="1" ht="15" x14ac:dyDescent="0.3">
      <c r="A69" s="704"/>
      <c r="B69" s="704"/>
      <c r="C69" s="220"/>
      <c r="D69" s="219"/>
      <c r="E69" s="219"/>
      <c r="F69" s="219"/>
      <c r="G69" s="219"/>
      <c r="H69" s="216"/>
      <c r="I69" s="216"/>
      <c r="J69" s="216"/>
      <c r="K69" s="216"/>
      <c r="L69" s="14"/>
    </row>
    <row r="70" spans="1:12" s="6" customFormat="1" ht="15" x14ac:dyDescent="0.3">
      <c r="A70" s="704"/>
      <c r="B70" s="704"/>
      <c r="C70" s="220"/>
      <c r="D70" s="910">
        <v>4</v>
      </c>
      <c r="E70" s="905" t="s">
        <v>717</v>
      </c>
      <c r="F70" s="219"/>
      <c r="G70" s="219"/>
      <c r="H70" s="216"/>
      <c r="I70" s="216"/>
      <c r="J70" s="216"/>
      <c r="K70" s="216"/>
      <c r="L70" s="14"/>
    </row>
    <row r="71" spans="1:12" s="6" customFormat="1" ht="38.25" customHeight="1" x14ac:dyDescent="0.3">
      <c r="A71" s="704"/>
      <c r="B71" s="704"/>
      <c r="C71" s="220"/>
      <c r="D71" s="219"/>
      <c r="E71" s="2124" t="s">
        <v>751</v>
      </c>
      <c r="F71" s="2124"/>
      <c r="G71" s="2124"/>
      <c r="H71" s="706"/>
      <c r="I71" s="706"/>
      <c r="J71" s="706"/>
      <c r="K71" s="706"/>
      <c r="L71" s="14"/>
    </row>
    <row r="72" spans="1:12" s="6" customFormat="1" ht="15" x14ac:dyDescent="0.3">
      <c r="A72" s="704"/>
      <c r="B72" s="704"/>
      <c r="C72" s="220"/>
      <c r="D72" s="219"/>
      <c r="E72" s="219"/>
      <c r="F72" s="219"/>
      <c r="G72" s="219"/>
      <c r="H72" s="216"/>
      <c r="I72" s="216"/>
      <c r="J72" s="216"/>
      <c r="K72" s="216"/>
      <c r="L72" s="14"/>
    </row>
    <row r="73" spans="1:12" s="6" customFormat="1" ht="15" x14ac:dyDescent="0.3">
      <c r="A73" s="704"/>
      <c r="B73" s="704"/>
      <c r="C73" s="220"/>
      <c r="D73" s="219"/>
      <c r="E73" s="905" t="s">
        <v>582</v>
      </c>
      <c r="F73" s="219"/>
      <c r="G73" s="219"/>
      <c r="H73" s="216"/>
      <c r="I73" s="216"/>
      <c r="J73" s="216"/>
      <c r="K73" s="216"/>
      <c r="L73" s="14"/>
    </row>
    <row r="74" spans="1:12" s="6" customFormat="1" ht="7.5" customHeight="1" x14ac:dyDescent="0.3">
      <c r="A74" s="704"/>
      <c r="B74" s="704"/>
      <c r="C74" s="220"/>
      <c r="D74" s="219"/>
      <c r="E74" s="219"/>
      <c r="F74" s="219"/>
      <c r="G74" s="219"/>
      <c r="H74" s="216"/>
      <c r="I74" s="216"/>
      <c r="J74" s="216"/>
      <c r="K74" s="216"/>
      <c r="L74" s="14"/>
    </row>
    <row r="75" spans="1:12" s="6" customFormat="1" ht="15" x14ac:dyDescent="0.3">
      <c r="A75" s="704"/>
      <c r="B75" s="704"/>
      <c r="C75" s="220"/>
      <c r="D75" s="905">
        <v>1</v>
      </c>
      <c r="E75" s="905" t="s">
        <v>77</v>
      </c>
      <c r="F75" s="220"/>
      <c r="G75" s="220"/>
      <c r="H75" s="14"/>
      <c r="I75" s="615"/>
      <c r="J75" s="14"/>
      <c r="K75" s="14"/>
      <c r="L75" s="14"/>
    </row>
    <row r="76" spans="1:12" s="6" customFormat="1" ht="34.5" customHeight="1" x14ac:dyDescent="0.3">
      <c r="A76" s="704"/>
      <c r="B76" s="704"/>
      <c r="C76" s="220"/>
      <c r="D76" s="219"/>
      <c r="E76" s="2124" t="s">
        <v>720</v>
      </c>
      <c r="F76" s="2124"/>
      <c r="G76" s="2124"/>
      <c r="H76" s="2125"/>
      <c r="I76" s="2125"/>
      <c r="J76" s="2125"/>
      <c r="K76" s="707"/>
      <c r="L76" s="14"/>
    </row>
    <row r="77" spans="1:12" s="6" customFormat="1" ht="15" x14ac:dyDescent="0.3">
      <c r="A77" s="704"/>
      <c r="B77" s="704"/>
      <c r="C77" s="220"/>
      <c r="D77" s="219"/>
      <c r="E77" s="220"/>
      <c r="F77" s="220"/>
      <c r="G77" s="220"/>
      <c r="H77" s="14"/>
      <c r="I77" s="14"/>
      <c r="J77" s="14"/>
      <c r="K77" s="14"/>
      <c r="L77" s="14"/>
    </row>
    <row r="78" spans="1:12" s="6" customFormat="1" ht="15" x14ac:dyDescent="0.3">
      <c r="A78" s="704"/>
      <c r="B78" s="704"/>
      <c r="C78" s="220"/>
      <c r="D78" s="905">
        <v>2</v>
      </c>
      <c r="E78" s="905" t="s">
        <v>312</v>
      </c>
      <c r="F78" s="219"/>
      <c r="G78" s="219"/>
      <c r="H78" s="216"/>
      <c r="I78" s="615"/>
      <c r="J78" s="216"/>
      <c r="K78" s="216"/>
      <c r="L78" s="14"/>
    </row>
    <row r="79" spans="1:12" s="6" customFormat="1" ht="33.75" customHeight="1" x14ac:dyDescent="0.3">
      <c r="A79" s="704"/>
      <c r="B79" s="704"/>
      <c r="C79" s="220"/>
      <c r="D79" s="219"/>
      <c r="E79" s="2124" t="s">
        <v>718</v>
      </c>
      <c r="F79" s="2124"/>
      <c r="G79" s="2124"/>
      <c r="H79" s="2125"/>
      <c r="I79" s="2125"/>
      <c r="J79" s="2125"/>
      <c r="K79" s="707"/>
      <c r="L79" s="14"/>
    </row>
    <row r="80" spans="1:12" s="6" customFormat="1" ht="15" x14ac:dyDescent="0.3">
      <c r="A80" s="704"/>
      <c r="B80" s="704"/>
      <c r="C80" s="220"/>
      <c r="D80" s="219"/>
      <c r="E80" s="219"/>
      <c r="F80" s="219"/>
      <c r="G80" s="219"/>
      <c r="H80" s="216"/>
      <c r="I80" s="216"/>
      <c r="J80" s="216"/>
      <c r="K80" s="216"/>
      <c r="L80" s="14"/>
    </row>
    <row r="81" spans="1:14" s="6" customFormat="1" ht="15" x14ac:dyDescent="0.3">
      <c r="A81" s="704"/>
      <c r="B81" s="704"/>
      <c r="C81" s="220"/>
      <c r="D81" s="905">
        <v>3</v>
      </c>
      <c r="E81" s="905" t="s">
        <v>573</v>
      </c>
      <c r="F81" s="219"/>
      <c r="G81" s="219"/>
      <c r="H81" s="216"/>
      <c r="I81" s="615"/>
      <c r="J81" s="216"/>
      <c r="K81" s="216"/>
      <c r="L81" s="14"/>
    </row>
    <row r="82" spans="1:14" s="6" customFormat="1" ht="37.5" customHeight="1" x14ac:dyDescent="0.3">
      <c r="A82" s="704"/>
      <c r="B82" s="704"/>
      <c r="C82" s="220"/>
      <c r="D82" s="136"/>
      <c r="E82" s="2124" t="s">
        <v>1622</v>
      </c>
      <c r="F82" s="2124"/>
      <c r="G82" s="2124"/>
      <c r="H82" s="2125"/>
      <c r="I82" s="2125"/>
      <c r="J82" s="2125"/>
      <c r="K82" s="707"/>
      <c r="L82" s="14"/>
    </row>
    <row r="83" spans="1:14" s="46" customFormat="1" ht="15" x14ac:dyDescent="0.3">
      <c r="A83" s="139"/>
      <c r="C83" s="880"/>
      <c r="D83" s="880"/>
      <c r="E83" s="880"/>
      <c r="F83" s="880"/>
      <c r="G83" s="880"/>
      <c r="H83" s="37"/>
      <c r="I83" s="289"/>
    </row>
    <row r="84" spans="1:14" s="46" customFormat="1" ht="8.25" customHeight="1" x14ac:dyDescent="0.25">
      <c r="A84" s="139"/>
      <c r="B84" s="139"/>
      <c r="E84" s="59"/>
      <c r="F84" s="365"/>
      <c r="G84" s="59"/>
      <c r="H84" s="37"/>
      <c r="J84" s="289"/>
      <c r="K84" s="289"/>
      <c r="L84" s="289"/>
      <c r="M84" s="289"/>
      <c r="N84" s="289"/>
    </row>
    <row r="85" spans="1:14" s="46" customFormat="1" x14ac:dyDescent="0.25">
      <c r="A85" s="256"/>
      <c r="B85" s="256"/>
      <c r="C85" s="206"/>
      <c r="E85" s="60"/>
      <c r="F85" s="60"/>
      <c r="G85" s="60"/>
      <c r="H85" s="206"/>
      <c r="I85" s="289"/>
    </row>
    <row r="86" spans="1:14" s="46" customFormat="1" x14ac:dyDescent="0.25">
      <c r="A86" s="256"/>
      <c r="B86" s="256"/>
      <c r="C86" s="293"/>
      <c r="D86" s="294"/>
      <c r="E86" s="295"/>
      <c r="F86" s="295"/>
      <c r="G86" s="295"/>
      <c r="H86" s="293"/>
      <c r="I86" s="289"/>
    </row>
    <row r="87" spans="1:14" s="46" customFormat="1" x14ac:dyDescent="0.25">
      <c r="A87" s="256"/>
      <c r="B87" s="256"/>
      <c r="C87" s="293"/>
      <c r="D87" s="294"/>
      <c r="E87" s="295"/>
      <c r="F87" s="295"/>
      <c r="G87" s="295"/>
      <c r="H87" s="293"/>
      <c r="I87" s="289"/>
    </row>
    <row r="88" spans="1:14" s="46" customFormat="1" x14ac:dyDescent="0.25">
      <c r="A88" s="256"/>
      <c r="B88" s="256"/>
      <c r="C88" s="293"/>
      <c r="D88" s="294"/>
      <c r="E88" s="295"/>
      <c r="F88" s="295"/>
      <c r="G88" s="295"/>
      <c r="H88" s="293"/>
      <c r="I88" s="289"/>
    </row>
    <row r="89" spans="1:14" x14ac:dyDescent="0.25">
      <c r="A89" s="256"/>
      <c r="B89" s="256"/>
      <c r="C89" s="293"/>
      <c r="D89" s="296"/>
      <c r="E89" s="297"/>
      <c r="F89" s="364"/>
      <c r="G89" s="297"/>
      <c r="H89" s="293"/>
    </row>
    <row r="90" spans="1:14" x14ac:dyDescent="0.25">
      <c r="C90" s="293"/>
      <c r="D90" s="293"/>
      <c r="E90" s="295"/>
      <c r="F90" s="295"/>
      <c r="G90" s="295"/>
      <c r="H90" s="293"/>
    </row>
    <row r="91" spans="1:14" x14ac:dyDescent="0.25">
      <c r="C91" s="293"/>
      <c r="D91" s="293"/>
      <c r="E91" s="295"/>
      <c r="F91" s="295"/>
      <c r="G91" s="295"/>
      <c r="H91" s="293"/>
    </row>
    <row r="92" spans="1:14" x14ac:dyDescent="0.25">
      <c r="C92" s="293"/>
      <c r="D92" s="293"/>
      <c r="E92" s="295"/>
      <c r="F92" s="295"/>
      <c r="G92" s="295"/>
      <c r="H92" s="293"/>
    </row>
    <row r="93" spans="1:14" x14ac:dyDescent="0.25">
      <c r="C93" s="293"/>
      <c r="D93" s="293"/>
      <c r="E93" s="295"/>
      <c r="F93" s="295"/>
      <c r="G93" s="295"/>
      <c r="H93" s="293"/>
    </row>
    <row r="94" spans="1:14" x14ac:dyDescent="0.25">
      <c r="C94" s="293"/>
      <c r="D94" s="293"/>
      <c r="E94" s="295"/>
      <c r="F94" s="295"/>
      <c r="G94" s="295"/>
      <c r="H94" s="293"/>
    </row>
    <row r="95" spans="1:14" x14ac:dyDescent="0.25">
      <c r="C95" s="293"/>
      <c r="D95" s="293"/>
      <c r="E95" s="295"/>
      <c r="F95" s="295"/>
      <c r="G95" s="295"/>
      <c r="H95" s="293"/>
    </row>
    <row r="96" spans="1:14" x14ac:dyDescent="0.25">
      <c r="C96" s="293"/>
      <c r="D96" s="293"/>
      <c r="E96" s="295"/>
      <c r="F96" s="295"/>
      <c r="G96" s="295"/>
      <c r="H96" s="293"/>
    </row>
    <row r="97" spans="3:8" x14ac:dyDescent="0.25">
      <c r="C97" s="293"/>
      <c r="D97" s="293"/>
      <c r="E97" s="295"/>
      <c r="F97" s="295"/>
      <c r="G97" s="295"/>
      <c r="H97" s="293"/>
    </row>
    <row r="98" spans="3:8" x14ac:dyDescent="0.25">
      <c r="C98" s="293"/>
      <c r="D98" s="293"/>
      <c r="E98" s="295"/>
      <c r="F98" s="295"/>
      <c r="G98" s="295"/>
      <c r="H98" s="293"/>
    </row>
    <row r="99" spans="3:8" x14ac:dyDescent="0.25">
      <c r="C99" s="293"/>
      <c r="D99" s="293"/>
      <c r="E99" s="295"/>
      <c r="F99" s="295"/>
      <c r="G99" s="295"/>
      <c r="H99" s="293"/>
    </row>
    <row r="100" spans="3:8" x14ac:dyDescent="0.25">
      <c r="C100" s="293"/>
      <c r="D100" s="293"/>
      <c r="E100" s="295"/>
      <c r="F100" s="295"/>
      <c r="G100" s="295"/>
      <c r="H100" s="293"/>
    </row>
    <row r="101" spans="3:8" x14ac:dyDescent="0.25">
      <c r="C101" s="293"/>
      <c r="D101" s="293"/>
      <c r="E101" s="295"/>
      <c r="F101" s="295"/>
      <c r="G101" s="295"/>
      <c r="H101" s="293"/>
    </row>
    <row r="102" spans="3:8" x14ac:dyDescent="0.25">
      <c r="C102" s="293"/>
      <c r="D102" s="293"/>
      <c r="E102" s="295"/>
      <c r="F102" s="295"/>
      <c r="G102" s="295"/>
      <c r="H102" s="293"/>
    </row>
    <row r="103" spans="3:8" x14ac:dyDescent="0.25">
      <c r="C103" s="293"/>
      <c r="D103" s="293"/>
      <c r="E103" s="295"/>
      <c r="F103" s="295"/>
      <c r="G103" s="295"/>
      <c r="H103" s="293"/>
    </row>
    <row r="104" spans="3:8" x14ac:dyDescent="0.25">
      <c r="C104" s="293"/>
      <c r="D104" s="293"/>
      <c r="E104" s="295"/>
      <c r="F104" s="295"/>
      <c r="G104" s="295"/>
      <c r="H104" s="293"/>
    </row>
    <row r="105" spans="3:8" x14ac:dyDescent="0.25">
      <c r="C105" s="293"/>
      <c r="D105" s="293"/>
      <c r="E105" s="295"/>
      <c r="F105" s="295"/>
      <c r="G105" s="295"/>
      <c r="H105" s="293"/>
    </row>
    <row r="106" spans="3:8" x14ac:dyDescent="0.25">
      <c r="C106" s="293"/>
      <c r="D106" s="293"/>
      <c r="E106" s="295"/>
      <c r="F106" s="295"/>
      <c r="G106" s="295"/>
      <c r="H106" s="293"/>
    </row>
    <row r="107" spans="3:8" x14ac:dyDescent="0.25">
      <c r="C107" s="293"/>
      <c r="D107" s="293"/>
      <c r="E107" s="295"/>
      <c r="F107" s="295"/>
      <c r="G107" s="295"/>
      <c r="H107" s="293"/>
    </row>
    <row r="108" spans="3:8" x14ac:dyDescent="0.25">
      <c r="C108" s="293"/>
      <c r="D108" s="293"/>
      <c r="E108" s="295"/>
      <c r="F108" s="295"/>
      <c r="G108" s="295"/>
      <c r="H108" s="293"/>
    </row>
    <row r="109" spans="3:8" x14ac:dyDescent="0.25">
      <c r="C109" s="293"/>
      <c r="D109" s="293"/>
      <c r="E109" s="295"/>
      <c r="F109" s="295"/>
      <c r="G109" s="295"/>
      <c r="H109" s="293"/>
    </row>
    <row r="110" spans="3:8" x14ac:dyDescent="0.25">
      <c r="C110" s="293"/>
      <c r="D110" s="293"/>
      <c r="E110" s="295"/>
      <c r="F110" s="295"/>
      <c r="G110" s="295"/>
      <c r="H110" s="293"/>
    </row>
    <row r="111" spans="3:8" x14ac:dyDescent="0.25">
      <c r="C111" s="293"/>
      <c r="D111" s="293"/>
      <c r="E111" s="295"/>
      <c r="F111" s="295"/>
      <c r="G111" s="295"/>
      <c r="H111" s="293"/>
    </row>
    <row r="112" spans="3:8" x14ac:dyDescent="0.25">
      <c r="C112" s="293"/>
      <c r="D112" s="293"/>
      <c r="E112" s="295"/>
      <c r="F112" s="295"/>
      <c r="G112" s="295"/>
      <c r="H112" s="293"/>
    </row>
    <row r="113" spans="3:8" x14ac:dyDescent="0.25">
      <c r="C113" s="293"/>
      <c r="D113" s="293"/>
      <c r="E113" s="295"/>
      <c r="F113" s="295"/>
      <c r="G113" s="295"/>
      <c r="H113" s="293"/>
    </row>
    <row r="114" spans="3:8" x14ac:dyDescent="0.25">
      <c r="C114" s="293"/>
      <c r="D114" s="293"/>
      <c r="E114" s="295"/>
      <c r="F114" s="295"/>
      <c r="G114" s="295"/>
      <c r="H114" s="293"/>
    </row>
    <row r="115" spans="3:8" x14ac:dyDescent="0.25">
      <c r="C115" s="293"/>
      <c r="D115" s="293"/>
      <c r="E115" s="295"/>
      <c r="F115" s="295"/>
      <c r="G115" s="295"/>
      <c r="H115" s="293"/>
    </row>
    <row r="116" spans="3:8" x14ac:dyDescent="0.25">
      <c r="C116" s="293"/>
      <c r="D116" s="293"/>
      <c r="E116" s="295"/>
      <c r="F116" s="295"/>
      <c r="G116" s="295"/>
      <c r="H116" s="293"/>
    </row>
    <row r="117" spans="3:8" x14ac:dyDescent="0.25">
      <c r="C117" s="293"/>
      <c r="D117" s="293"/>
      <c r="E117" s="295"/>
      <c r="F117" s="295"/>
      <c r="G117" s="295"/>
      <c r="H117" s="293"/>
    </row>
    <row r="118" spans="3:8" x14ac:dyDescent="0.25">
      <c r="C118" s="293"/>
      <c r="D118" s="293"/>
      <c r="E118" s="295"/>
      <c r="F118" s="295"/>
      <c r="G118" s="295"/>
      <c r="H118" s="293"/>
    </row>
    <row r="119" spans="3:8" x14ac:dyDescent="0.25">
      <c r="C119" s="293"/>
      <c r="D119" s="293"/>
      <c r="E119" s="295"/>
      <c r="F119" s="295"/>
      <c r="G119" s="295"/>
      <c r="H119" s="293"/>
    </row>
    <row r="120" spans="3:8" x14ac:dyDescent="0.25">
      <c r="C120" s="293"/>
      <c r="D120" s="293"/>
      <c r="E120" s="295"/>
      <c r="F120" s="295"/>
      <c r="G120" s="295"/>
      <c r="H120" s="293"/>
    </row>
    <row r="121" spans="3:8" x14ac:dyDescent="0.25">
      <c r="C121" s="293"/>
      <c r="D121" s="293"/>
      <c r="E121" s="295"/>
      <c r="F121" s="295"/>
      <c r="G121" s="295"/>
      <c r="H121" s="293"/>
    </row>
    <row r="124" spans="3:8" ht="27.6" x14ac:dyDescent="0.25">
      <c r="E124" s="60" t="s">
        <v>1313</v>
      </c>
    </row>
    <row r="140" spans="8:8" x14ac:dyDescent="0.25">
      <c r="H140" s="206">
        <f>H139-H138</f>
        <v>0</v>
      </c>
    </row>
  </sheetData>
  <customSheetViews>
    <customSheetView guid="{7F222B88-8DE7-4209-9261-78C075D2F561}" showPageBreaks="1" printArea="1" hiddenRows="1" view="pageBreakPreview" showRuler="0">
      <pane ySplit="2" topLeftCell="A226" activePane="bottomLeft" state="frozen"/>
      <selection pane="bottomLeft" activeCell="E229" sqref="E229"/>
      <rowBreaks count="7" manualBreakCount="7">
        <brk id="40" max="5" man="1"/>
        <brk id="86" max="5" man="1"/>
        <brk id="155" max="5" man="1"/>
        <brk id="214" max="5" man="1"/>
        <brk id="248" max="5" man="1"/>
        <brk id="284" max="5" man="1"/>
        <brk id="321" max="5" man="1"/>
      </rowBreaks>
      <pageMargins left="0.74803149606299213" right="0.62992125984251968" top="0.70866141732283472" bottom="0.70866141732283472" header="0.51181102362204722" footer="0.51181102362204722"/>
      <pageSetup paperSize="9" scale="67" fitToHeight="8" orientation="portrait" r:id="rId1"/>
      <headerFooter alignWithMargins="0">
        <oddFooter>&amp;C&amp;"Arial Narrow,Regular"Page &amp;P of &amp;N</oddFooter>
      </headerFooter>
    </customSheetView>
  </customSheetViews>
  <mergeCells count="44">
    <mergeCell ref="E65:G65"/>
    <mergeCell ref="H65:J65"/>
    <mergeCell ref="E62:G62"/>
    <mergeCell ref="H62:J62"/>
    <mergeCell ref="E56:G56"/>
    <mergeCell ref="E79:G79"/>
    <mergeCell ref="H79:J79"/>
    <mergeCell ref="E82:G82"/>
    <mergeCell ref="H82:J82"/>
    <mergeCell ref="E68:G68"/>
    <mergeCell ref="H68:J68"/>
    <mergeCell ref="E71:G71"/>
    <mergeCell ref="E76:G76"/>
    <mergeCell ref="H76:J76"/>
    <mergeCell ref="E6:G6"/>
    <mergeCell ref="D4:E4"/>
    <mergeCell ref="E35:G35"/>
    <mergeCell ref="E49:G49"/>
    <mergeCell ref="E30:G30"/>
    <mergeCell ref="E28:G28"/>
    <mergeCell ref="E31:G31"/>
    <mergeCell ref="E41:G41"/>
    <mergeCell ref="E42:G42"/>
    <mergeCell ref="E32:G32"/>
    <mergeCell ref="E38:G38"/>
    <mergeCell ref="E36:G36"/>
    <mergeCell ref="E47:G47"/>
    <mergeCell ref="I18:L20"/>
    <mergeCell ref="E14:G14"/>
    <mergeCell ref="A8:A10"/>
    <mergeCell ref="E25:G25"/>
    <mergeCell ref="E16:G16"/>
    <mergeCell ref="E20:G20"/>
    <mergeCell ref="E22:G22"/>
    <mergeCell ref="E13:G13"/>
    <mergeCell ref="E18:G18"/>
    <mergeCell ref="A56:A57"/>
    <mergeCell ref="I56:L57"/>
    <mergeCell ref="E39:G39"/>
    <mergeCell ref="E33:G33"/>
    <mergeCell ref="I26:K26"/>
    <mergeCell ref="E26:G26"/>
    <mergeCell ref="E57:G57"/>
    <mergeCell ref="E55:G55"/>
  </mergeCells>
  <phoneticPr fontId="0" type="noConversion"/>
  <printOptions horizontalCentered="1"/>
  <pageMargins left="0.31496062992125984" right="0.31496062992125984" top="0.3543307086614173" bottom="0.3543307086614173" header="0.11811023622047244" footer="0.11811023622047244"/>
  <pageSetup paperSize="9" fitToHeight="8" orientation="portrait" r:id="rId2"/>
  <headerFooter alignWithMargins="0">
    <oddFooter>&amp;C&amp;P</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P106"/>
  <sheetViews>
    <sheetView showGridLines="0" view="pageBreakPreview" zoomScaleNormal="100" zoomScaleSheetLayoutView="100" workbookViewId="0">
      <pane ySplit="2" topLeftCell="A75" activePane="bottomLeft" state="frozen"/>
      <selection pane="bottomLeft"/>
    </sheetView>
  </sheetViews>
  <sheetFormatPr defaultColWidth="9" defaultRowHeight="13.8" x14ac:dyDescent="0.25"/>
  <cols>
    <col min="1" max="1" width="13.19921875" style="6" customWidth="1"/>
    <col min="2" max="2" width="4.19921875" style="6" bestFit="1" customWidth="1"/>
    <col min="3" max="3" width="4.59765625" style="6" customWidth="1"/>
    <col min="4" max="4" width="14.09765625" style="6" customWidth="1"/>
    <col min="5" max="5" width="9" style="6" customWidth="1"/>
    <col min="6" max="11" width="10.09765625" style="6" customWidth="1"/>
    <col min="12" max="16384" width="9" style="6"/>
  </cols>
  <sheetData>
    <row r="1" spans="1:16" s="1" customFormat="1" ht="16.5" customHeight="1" x14ac:dyDescent="0.25">
      <c r="A1" s="277" t="s">
        <v>206</v>
      </c>
      <c r="B1" s="40"/>
      <c r="C1" s="80" t="str">
        <f>IF('Merge Details_Printing instr'!$B$11="Insert details here",'Merge Details_Printing instr'!$A$11,'Merge Details_Printing instr'!$B$11)</f>
        <v>Council Name</v>
      </c>
      <c r="E1" s="2129" t="s">
        <v>303</v>
      </c>
      <c r="F1" s="2129"/>
      <c r="G1" s="2129"/>
      <c r="H1" s="2129"/>
      <c r="I1" s="2129"/>
      <c r="J1" s="2129"/>
    </row>
    <row r="2" spans="1:16" s="32" customFormat="1" ht="17.25" customHeight="1" x14ac:dyDescent="0.25">
      <c r="A2" s="494" t="s">
        <v>696</v>
      </c>
      <c r="B2" s="152" t="s">
        <v>207</v>
      </c>
      <c r="C2" s="85" t="str">
        <f>'Merge Details_Printing instr'!A12</f>
        <v>2023-2024 Financial Report</v>
      </c>
      <c r="D2" s="85"/>
      <c r="E2" s="2130" t="str">
        <f>'Merge Details_Printing instr'!$A$14</f>
        <v>For the Year Ended 30 June 2024</v>
      </c>
      <c r="F2" s="2130"/>
      <c r="G2" s="2130"/>
      <c r="H2" s="2130"/>
      <c r="I2" s="2130"/>
      <c r="J2" s="2130"/>
      <c r="K2" s="33"/>
    </row>
    <row r="3" spans="1:16" s="32" customFormat="1" ht="7.5" customHeight="1" x14ac:dyDescent="0.2">
      <c r="A3" s="199"/>
      <c r="B3" s="73"/>
      <c r="C3" s="70"/>
      <c r="D3" s="70"/>
      <c r="E3" s="70"/>
      <c r="F3" s="200"/>
      <c r="G3" s="200"/>
      <c r="H3" s="200"/>
      <c r="I3" s="200"/>
      <c r="J3" s="200"/>
    </row>
    <row r="4" spans="1:16" ht="20.399999999999999" x14ac:dyDescent="0.35">
      <c r="A4" s="139"/>
      <c r="B4" s="139"/>
      <c r="C4" s="911">
        <v>1.5</v>
      </c>
      <c r="D4" s="905" t="s">
        <v>6</v>
      </c>
      <c r="E4" s="905"/>
      <c r="F4" s="912"/>
      <c r="G4" s="912"/>
      <c r="H4" s="912"/>
      <c r="I4" s="912"/>
      <c r="J4" s="912"/>
      <c r="K4" s="912"/>
      <c r="L4" s="491" t="s">
        <v>1310</v>
      </c>
    </row>
    <row r="5" spans="1:16" ht="14.4" x14ac:dyDescent="0.3">
      <c r="A5" s="139"/>
      <c r="B5" s="139"/>
      <c r="C5" s="433" t="s">
        <v>204</v>
      </c>
      <c r="D5" s="913" t="s">
        <v>760</v>
      </c>
      <c r="E5" s="913"/>
      <c r="F5" s="219"/>
      <c r="G5" s="219"/>
      <c r="H5" s="219"/>
      <c r="I5" s="219"/>
      <c r="J5" s="219"/>
      <c r="K5" s="219"/>
    </row>
    <row r="6" spans="1:16" ht="18.75" customHeight="1" x14ac:dyDescent="0.3">
      <c r="A6" s="139">
        <v>1052</v>
      </c>
      <c r="B6" s="139"/>
      <c r="C6" s="912"/>
      <c r="D6" s="219"/>
      <c r="E6" s="219"/>
      <c r="F6" s="219"/>
      <c r="G6" s="219"/>
      <c r="H6" s="219"/>
      <c r="I6" s="219"/>
      <c r="J6" s="219"/>
      <c r="K6" s="219"/>
    </row>
    <row r="7" spans="1:16" ht="27.75" customHeight="1" x14ac:dyDescent="0.3">
      <c r="A7" s="139"/>
      <c r="B7" s="139"/>
      <c r="C7" s="912"/>
      <c r="D7" s="914"/>
      <c r="E7" s="915"/>
      <c r="F7" s="916" t="s">
        <v>616</v>
      </c>
      <c r="G7" s="916" t="s">
        <v>102</v>
      </c>
      <c r="H7" s="917" t="s">
        <v>8</v>
      </c>
      <c r="I7" s="917" t="s">
        <v>7</v>
      </c>
      <c r="J7" s="917" t="s">
        <v>391</v>
      </c>
      <c r="K7" s="916" t="s">
        <v>583</v>
      </c>
    </row>
    <row r="8" spans="1:16" ht="14.25" customHeight="1" x14ac:dyDescent="0.3">
      <c r="A8" s="737"/>
      <c r="B8" s="737"/>
      <c r="C8" s="912"/>
      <c r="D8" s="918"/>
      <c r="E8" s="919"/>
      <c r="F8" s="920" t="s">
        <v>1720</v>
      </c>
      <c r="G8" s="920" t="s">
        <v>1720</v>
      </c>
      <c r="H8" s="920" t="s">
        <v>1720</v>
      </c>
      <c r="I8" s="920" t="s">
        <v>1720</v>
      </c>
      <c r="J8" s="920" t="s">
        <v>1720</v>
      </c>
      <c r="K8" s="920" t="s">
        <v>1720</v>
      </c>
    </row>
    <row r="9" spans="1:16" ht="3.75" customHeight="1" x14ac:dyDescent="0.3">
      <c r="A9" s="139"/>
      <c r="B9" s="139"/>
      <c r="C9" s="921"/>
      <c r="D9" s="742"/>
      <c r="E9" s="743"/>
      <c r="F9" s="743"/>
      <c r="G9" s="219"/>
      <c r="H9" s="744"/>
      <c r="I9" s="219"/>
      <c r="J9" s="744"/>
      <c r="K9" s="744"/>
    </row>
    <row r="10" spans="1:16" ht="15.9" customHeight="1" x14ac:dyDescent="0.3">
      <c r="A10" s="139"/>
      <c r="B10" s="139"/>
      <c r="C10" s="136"/>
      <c r="D10" s="742" t="s">
        <v>337</v>
      </c>
      <c r="E10" s="743"/>
      <c r="F10" s="743"/>
      <c r="G10" s="219"/>
      <c r="H10" s="744"/>
      <c r="I10" s="219"/>
      <c r="J10" s="744"/>
      <c r="K10" s="744"/>
    </row>
    <row r="11" spans="1:16" ht="15.9" customHeight="1" x14ac:dyDescent="0.35">
      <c r="A11" s="139"/>
      <c r="B11" s="139"/>
      <c r="C11" s="922"/>
      <c r="D11" s="742" t="str">
        <f>'Merge Details_Printing instr'!A20&amp;" - "&amp;'Merge Details_Printing instr'!A19</f>
        <v>2023 - 2024</v>
      </c>
      <c r="E11" s="743"/>
      <c r="F11" s="923">
        <v>0</v>
      </c>
      <c r="G11" s="924">
        <v>0</v>
      </c>
      <c r="H11" s="925">
        <v>0</v>
      </c>
      <c r="I11" s="924">
        <v>0</v>
      </c>
      <c r="J11" s="925">
        <v>0</v>
      </c>
      <c r="K11" s="925">
        <v>0</v>
      </c>
      <c r="O11" s="381"/>
      <c r="P11" s="381"/>
    </row>
    <row r="12" spans="1:16" ht="15.9" customHeight="1" x14ac:dyDescent="0.3">
      <c r="A12" s="139"/>
      <c r="B12" s="139"/>
      <c r="C12" s="922"/>
      <c r="D12" s="742" t="str">
        <f>'Merge Details_Printing instr'!A21&amp;" - "&amp;'Merge Details_Printing instr'!A20</f>
        <v>2022 - 2023</v>
      </c>
      <c r="E12" s="743"/>
      <c r="F12" s="923">
        <v>0</v>
      </c>
      <c r="G12" s="924">
        <v>0</v>
      </c>
      <c r="H12" s="925">
        <v>0</v>
      </c>
      <c r="I12" s="924">
        <v>0</v>
      </c>
      <c r="J12" s="925">
        <v>0</v>
      </c>
      <c r="K12" s="925">
        <v>0</v>
      </c>
    </row>
    <row r="13" spans="1:16" ht="8.1" customHeight="1" x14ac:dyDescent="0.3">
      <c r="A13" s="139"/>
      <c r="B13" s="139"/>
      <c r="C13" s="922"/>
      <c r="D13" s="742"/>
      <c r="E13" s="743"/>
      <c r="F13" s="743"/>
      <c r="G13" s="219"/>
      <c r="H13" s="744"/>
      <c r="I13" s="219"/>
      <c r="J13" s="744"/>
      <c r="K13" s="744"/>
    </row>
    <row r="14" spans="1:16" ht="15.9" customHeight="1" x14ac:dyDescent="0.3">
      <c r="A14" s="139"/>
      <c r="B14" s="139"/>
      <c r="C14" s="922"/>
      <c r="D14" s="742" t="s">
        <v>12</v>
      </c>
      <c r="E14" s="743"/>
      <c r="F14" s="743"/>
      <c r="G14" s="219"/>
      <c r="H14" s="744"/>
      <c r="I14" s="219"/>
      <c r="J14" s="744"/>
      <c r="K14" s="744"/>
    </row>
    <row r="15" spans="1:16" ht="15.9" customHeight="1" x14ac:dyDescent="0.3">
      <c r="A15" s="139"/>
      <c r="B15" s="139"/>
      <c r="C15" s="922"/>
      <c r="D15" s="742" t="str">
        <f>$D$11</f>
        <v>2023 - 2024</v>
      </c>
      <c r="E15" s="743"/>
      <c r="F15" s="923">
        <v>0</v>
      </c>
      <c r="G15" s="924">
        <v>0</v>
      </c>
      <c r="H15" s="925">
        <v>0</v>
      </c>
      <c r="I15" s="924">
        <v>0</v>
      </c>
      <c r="J15" s="925">
        <v>0</v>
      </c>
      <c r="K15" s="925">
        <v>0</v>
      </c>
    </row>
    <row r="16" spans="1:16" s="1" customFormat="1" ht="15.9" customHeight="1" x14ac:dyDescent="0.3">
      <c r="A16" s="139"/>
      <c r="B16" s="139"/>
      <c r="C16" s="922"/>
      <c r="D16" s="742" t="str">
        <f>D12</f>
        <v>2022 - 2023</v>
      </c>
      <c r="E16" s="743"/>
      <c r="F16" s="923">
        <v>0</v>
      </c>
      <c r="G16" s="924">
        <v>0</v>
      </c>
      <c r="H16" s="925">
        <v>0</v>
      </c>
      <c r="I16" s="924">
        <v>0</v>
      </c>
      <c r="J16" s="925">
        <v>0</v>
      </c>
      <c r="K16" s="925">
        <v>0</v>
      </c>
    </row>
    <row r="17" spans="1:11" ht="8.1" customHeight="1" x14ac:dyDescent="0.3">
      <c r="A17" s="139"/>
      <c r="B17" s="139"/>
      <c r="C17" s="922"/>
      <c r="D17" s="742"/>
      <c r="E17" s="743"/>
      <c r="F17" s="743"/>
      <c r="G17" s="219"/>
      <c r="H17" s="744"/>
      <c r="I17" s="219"/>
      <c r="J17" s="744"/>
      <c r="K17" s="744"/>
    </row>
    <row r="18" spans="1:11" ht="15.9" customHeight="1" x14ac:dyDescent="0.3">
      <c r="A18" s="139"/>
      <c r="B18" s="139"/>
      <c r="C18" s="922"/>
      <c r="D18" s="742" t="s">
        <v>348</v>
      </c>
      <c r="E18" s="743"/>
      <c r="F18" s="743"/>
      <c r="G18" s="219"/>
      <c r="H18" s="744"/>
      <c r="I18" s="219"/>
      <c r="J18" s="744"/>
      <c r="K18" s="744"/>
    </row>
    <row r="19" spans="1:11" ht="15.9" customHeight="1" x14ac:dyDescent="0.3">
      <c r="A19" s="139"/>
      <c r="B19" s="139"/>
      <c r="C19" s="922"/>
      <c r="D19" s="742" t="str">
        <f>$D$11</f>
        <v>2023 - 2024</v>
      </c>
      <c r="E19" s="743"/>
      <c r="F19" s="923">
        <v>0</v>
      </c>
      <c r="G19" s="924">
        <v>0</v>
      </c>
      <c r="H19" s="925">
        <v>0</v>
      </c>
      <c r="I19" s="924">
        <v>0</v>
      </c>
      <c r="J19" s="925">
        <v>0</v>
      </c>
      <c r="K19" s="925">
        <v>0</v>
      </c>
    </row>
    <row r="20" spans="1:11" ht="15.9" customHeight="1" x14ac:dyDescent="0.3">
      <c r="A20" s="139"/>
      <c r="B20" s="139"/>
      <c r="C20" s="922"/>
      <c r="D20" s="742" t="str">
        <f>D16</f>
        <v>2022 - 2023</v>
      </c>
      <c r="E20" s="743"/>
      <c r="F20" s="923">
        <v>0</v>
      </c>
      <c r="G20" s="924">
        <v>0</v>
      </c>
      <c r="H20" s="925">
        <v>0</v>
      </c>
      <c r="I20" s="924">
        <v>0</v>
      </c>
      <c r="J20" s="925">
        <v>0</v>
      </c>
      <c r="K20" s="925">
        <v>0</v>
      </c>
    </row>
    <row r="21" spans="1:11" ht="8.1" customHeight="1" x14ac:dyDescent="0.3">
      <c r="A21" s="139"/>
      <c r="B21" s="139"/>
      <c r="C21" s="922"/>
      <c r="D21" s="742"/>
      <c r="E21" s="743"/>
      <c r="F21" s="743"/>
      <c r="G21" s="219"/>
      <c r="H21" s="744"/>
      <c r="I21" s="219"/>
      <c r="J21" s="744"/>
      <c r="K21" s="744"/>
    </row>
    <row r="22" spans="1:11" ht="15.9" customHeight="1" x14ac:dyDescent="0.3">
      <c r="A22" s="139"/>
      <c r="B22" s="139"/>
      <c r="C22" s="922"/>
      <c r="D22" s="742" t="s">
        <v>256</v>
      </c>
      <c r="E22" s="743"/>
      <c r="F22" s="743"/>
      <c r="G22" s="219"/>
      <c r="H22" s="744"/>
      <c r="I22" s="219"/>
      <c r="J22" s="744"/>
      <c r="K22" s="744"/>
    </row>
    <row r="23" spans="1:11" ht="15.9" customHeight="1" x14ac:dyDescent="0.3">
      <c r="A23" s="139"/>
      <c r="B23" s="139"/>
      <c r="C23" s="922"/>
      <c r="D23" s="742" t="str">
        <f>$D$11</f>
        <v>2023 - 2024</v>
      </c>
      <c r="E23" s="743"/>
      <c r="F23" s="923">
        <v>0</v>
      </c>
      <c r="G23" s="924">
        <v>0</v>
      </c>
      <c r="H23" s="925">
        <v>0</v>
      </c>
      <c r="I23" s="924">
        <v>0</v>
      </c>
      <c r="J23" s="925">
        <v>0</v>
      </c>
      <c r="K23" s="925">
        <v>0</v>
      </c>
    </row>
    <row r="24" spans="1:11" ht="15.9" customHeight="1" x14ac:dyDescent="0.3">
      <c r="A24" s="139"/>
      <c r="B24" s="139"/>
      <c r="C24" s="922"/>
      <c r="D24" s="742" t="str">
        <f>D20</f>
        <v>2022 - 2023</v>
      </c>
      <c r="E24" s="743"/>
      <c r="F24" s="923">
        <v>0</v>
      </c>
      <c r="G24" s="924">
        <v>0</v>
      </c>
      <c r="H24" s="925">
        <v>0</v>
      </c>
      <c r="I24" s="924">
        <v>0</v>
      </c>
      <c r="J24" s="925">
        <v>0</v>
      </c>
      <c r="K24" s="925">
        <v>0</v>
      </c>
    </row>
    <row r="25" spans="1:11" ht="8.1" customHeight="1" x14ac:dyDescent="0.3">
      <c r="A25" s="139"/>
      <c r="B25" s="139"/>
      <c r="C25" s="922"/>
      <c r="D25" s="742"/>
      <c r="E25" s="743"/>
      <c r="F25" s="743"/>
      <c r="G25" s="219"/>
      <c r="H25" s="744"/>
      <c r="I25" s="219"/>
      <c r="J25" s="744"/>
      <c r="K25" s="744"/>
    </row>
    <row r="26" spans="1:11" ht="15.9" customHeight="1" x14ac:dyDescent="0.3">
      <c r="A26" s="139"/>
      <c r="B26" s="139"/>
      <c r="C26" s="922"/>
      <c r="D26" s="742" t="s">
        <v>126</v>
      </c>
      <c r="E26" s="743"/>
      <c r="F26" s="743"/>
      <c r="G26" s="219"/>
      <c r="H26" s="744"/>
      <c r="I26" s="219"/>
      <c r="J26" s="744"/>
      <c r="K26" s="744"/>
    </row>
    <row r="27" spans="1:11" ht="15.9" customHeight="1" x14ac:dyDescent="0.3">
      <c r="A27" s="139"/>
      <c r="B27" s="139"/>
      <c r="C27" s="922"/>
      <c r="D27" s="742" t="str">
        <f>$D$11</f>
        <v>2023 - 2024</v>
      </c>
      <c r="E27" s="743"/>
      <c r="F27" s="923">
        <v>0</v>
      </c>
      <c r="G27" s="924">
        <v>0</v>
      </c>
      <c r="H27" s="925">
        <v>0</v>
      </c>
      <c r="I27" s="924">
        <v>0</v>
      </c>
      <c r="J27" s="925">
        <v>0</v>
      </c>
      <c r="K27" s="925">
        <v>0</v>
      </c>
    </row>
    <row r="28" spans="1:11" ht="15.9" customHeight="1" x14ac:dyDescent="0.3">
      <c r="A28" s="139"/>
      <c r="B28" s="139"/>
      <c r="C28" s="922"/>
      <c r="D28" s="742" t="str">
        <f>D24</f>
        <v>2022 - 2023</v>
      </c>
      <c r="E28" s="743"/>
      <c r="F28" s="923">
        <v>0</v>
      </c>
      <c r="G28" s="924">
        <v>0</v>
      </c>
      <c r="H28" s="925">
        <v>0</v>
      </c>
      <c r="I28" s="924">
        <v>0</v>
      </c>
      <c r="J28" s="925">
        <v>0</v>
      </c>
      <c r="K28" s="925">
        <v>0</v>
      </c>
    </row>
    <row r="29" spans="1:11" ht="8.1" customHeight="1" x14ac:dyDescent="0.3">
      <c r="A29" s="139"/>
      <c r="B29" s="139"/>
      <c r="C29" s="922"/>
      <c r="D29" s="742"/>
      <c r="E29" s="743"/>
      <c r="F29" s="743"/>
      <c r="G29" s="219"/>
      <c r="H29" s="744"/>
      <c r="I29" s="219"/>
      <c r="J29" s="744"/>
      <c r="K29" s="744"/>
    </row>
    <row r="30" spans="1:11" ht="15.9" customHeight="1" x14ac:dyDescent="0.3">
      <c r="A30" s="139"/>
      <c r="B30" s="139"/>
      <c r="C30" s="922"/>
      <c r="D30" s="742" t="s">
        <v>127</v>
      </c>
      <c r="E30" s="743"/>
      <c r="F30" s="743"/>
      <c r="G30" s="219"/>
      <c r="H30" s="744"/>
      <c r="I30" s="219"/>
      <c r="J30" s="744"/>
      <c r="K30" s="744"/>
    </row>
    <row r="31" spans="1:11" ht="15.9" customHeight="1" x14ac:dyDescent="0.3">
      <c r="A31" s="139"/>
      <c r="B31" s="139"/>
      <c r="C31" s="922"/>
      <c r="D31" s="742" t="str">
        <f>$D$11</f>
        <v>2023 - 2024</v>
      </c>
      <c r="E31" s="743"/>
      <c r="F31" s="923">
        <v>0</v>
      </c>
      <c r="G31" s="924">
        <v>0</v>
      </c>
      <c r="H31" s="925">
        <v>0</v>
      </c>
      <c r="I31" s="924">
        <v>0</v>
      </c>
      <c r="J31" s="925">
        <v>0</v>
      </c>
      <c r="K31" s="925">
        <v>0</v>
      </c>
    </row>
    <row r="32" spans="1:11" ht="15.9" customHeight="1" x14ac:dyDescent="0.3">
      <c r="A32" s="139"/>
      <c r="B32" s="139"/>
      <c r="C32" s="922"/>
      <c r="D32" s="742" t="str">
        <f>D28</f>
        <v>2022 - 2023</v>
      </c>
      <c r="E32" s="743"/>
      <c r="F32" s="923">
        <v>0</v>
      </c>
      <c r="G32" s="924">
        <v>0</v>
      </c>
      <c r="H32" s="925">
        <v>0</v>
      </c>
      <c r="I32" s="924">
        <v>0</v>
      </c>
      <c r="J32" s="925">
        <v>0</v>
      </c>
      <c r="K32" s="925">
        <v>0</v>
      </c>
    </row>
    <row r="33" spans="1:11" ht="8.1" customHeight="1" x14ac:dyDescent="0.3">
      <c r="A33" s="139"/>
      <c r="B33" s="139"/>
      <c r="C33" s="922"/>
      <c r="D33" s="742"/>
      <c r="E33" s="743"/>
      <c r="F33" s="743"/>
      <c r="G33" s="219"/>
      <c r="H33" s="744"/>
      <c r="I33" s="744"/>
      <c r="J33" s="743"/>
      <c r="K33" s="744"/>
    </row>
    <row r="34" spans="1:11" ht="15.9" customHeight="1" x14ac:dyDescent="0.3">
      <c r="A34" s="139"/>
      <c r="B34" s="139"/>
      <c r="C34" s="922"/>
      <c r="D34" s="742" t="s">
        <v>19</v>
      </c>
      <c r="E34" s="743"/>
      <c r="F34" s="743"/>
      <c r="G34" s="744"/>
      <c r="H34" s="744"/>
      <c r="I34" s="744"/>
      <c r="J34" s="744"/>
      <c r="K34" s="744"/>
    </row>
    <row r="35" spans="1:11" ht="15.9" customHeight="1" x14ac:dyDescent="0.3">
      <c r="A35" s="139"/>
      <c r="B35" s="139"/>
      <c r="C35" s="922"/>
      <c r="D35" s="742" t="str">
        <f>$D$11</f>
        <v>2023 - 2024</v>
      </c>
      <c r="E35" s="743"/>
      <c r="F35" s="923">
        <v>0</v>
      </c>
      <c r="G35" s="925">
        <v>0</v>
      </c>
      <c r="H35" s="925">
        <v>0</v>
      </c>
      <c r="I35" s="925">
        <v>0</v>
      </c>
      <c r="J35" s="925">
        <v>0</v>
      </c>
      <c r="K35" s="925">
        <v>0</v>
      </c>
    </row>
    <row r="36" spans="1:11" ht="15.9" customHeight="1" x14ac:dyDescent="0.3">
      <c r="A36" s="139"/>
      <c r="B36" s="139"/>
      <c r="C36" s="922"/>
      <c r="D36" s="742" t="str">
        <f>D32</f>
        <v>2022 - 2023</v>
      </c>
      <c r="E36" s="743"/>
      <c r="F36" s="923">
        <v>0</v>
      </c>
      <c r="G36" s="925">
        <v>0</v>
      </c>
      <c r="H36" s="925">
        <v>0</v>
      </c>
      <c r="I36" s="925">
        <v>0</v>
      </c>
      <c r="J36" s="925">
        <v>0</v>
      </c>
      <c r="K36" s="925">
        <v>0</v>
      </c>
    </row>
    <row r="37" spans="1:11" ht="8.1" customHeight="1" x14ac:dyDescent="0.3">
      <c r="A37" s="139"/>
      <c r="B37" s="139"/>
      <c r="C37" s="922"/>
      <c r="D37" s="742"/>
      <c r="E37" s="743"/>
      <c r="F37" s="923"/>
      <c r="G37" s="925"/>
      <c r="H37" s="925"/>
      <c r="I37" s="925"/>
      <c r="J37" s="925"/>
      <c r="K37" s="925"/>
    </row>
    <row r="38" spans="1:11" ht="15.9" customHeight="1" x14ac:dyDescent="0.3">
      <c r="A38" s="139"/>
      <c r="B38" s="139"/>
      <c r="C38" s="922"/>
      <c r="D38" s="742" t="s">
        <v>20</v>
      </c>
      <c r="E38" s="743"/>
      <c r="F38" s="743"/>
      <c r="G38" s="744"/>
      <c r="H38" s="744"/>
      <c r="I38" s="744"/>
      <c r="J38" s="744"/>
      <c r="K38" s="744"/>
    </row>
    <row r="39" spans="1:11" ht="15.9" customHeight="1" x14ac:dyDescent="0.3">
      <c r="A39" s="139"/>
      <c r="B39" s="139"/>
      <c r="C39" s="922"/>
      <c r="D39" s="742" t="str">
        <f>$D$11</f>
        <v>2023 - 2024</v>
      </c>
      <c r="E39" s="743"/>
      <c r="F39" s="923">
        <v>0</v>
      </c>
      <c r="G39" s="925">
        <v>0</v>
      </c>
      <c r="H39" s="925">
        <v>0</v>
      </c>
      <c r="I39" s="925">
        <v>0</v>
      </c>
      <c r="J39" s="925">
        <v>0</v>
      </c>
      <c r="K39" s="925">
        <v>0</v>
      </c>
    </row>
    <row r="40" spans="1:11" ht="15.9" customHeight="1" x14ac:dyDescent="0.3">
      <c r="A40" s="139"/>
      <c r="B40" s="139"/>
      <c r="C40" s="922"/>
      <c r="D40" s="742" t="str">
        <f>D36</f>
        <v>2022 - 2023</v>
      </c>
      <c r="E40" s="743"/>
      <c r="F40" s="923">
        <v>0</v>
      </c>
      <c r="G40" s="925">
        <v>0</v>
      </c>
      <c r="H40" s="925">
        <v>0</v>
      </c>
      <c r="I40" s="925">
        <v>0</v>
      </c>
      <c r="J40" s="925">
        <v>0</v>
      </c>
      <c r="K40" s="925">
        <v>0</v>
      </c>
    </row>
    <row r="41" spans="1:11" ht="8.1" customHeight="1" x14ac:dyDescent="0.3">
      <c r="A41" s="139"/>
      <c r="B41" s="139"/>
      <c r="C41" s="922"/>
      <c r="D41" s="742"/>
      <c r="E41" s="743"/>
      <c r="F41" s="743"/>
      <c r="G41" s="219"/>
      <c r="H41" s="744"/>
      <c r="I41" s="744"/>
      <c r="J41" s="744"/>
      <c r="K41" s="744"/>
    </row>
    <row r="42" spans="1:11" ht="15.9" customHeight="1" x14ac:dyDescent="0.3">
      <c r="A42" s="139"/>
      <c r="B42" s="139"/>
      <c r="C42" s="922"/>
      <c r="D42" s="742" t="s">
        <v>128</v>
      </c>
      <c r="E42" s="743"/>
      <c r="F42" s="743"/>
      <c r="G42" s="219"/>
      <c r="H42" s="744"/>
      <c r="I42" s="219"/>
      <c r="J42" s="744"/>
      <c r="K42" s="744"/>
    </row>
    <row r="43" spans="1:11" ht="15.9" customHeight="1" x14ac:dyDescent="0.3">
      <c r="A43" s="139"/>
      <c r="B43" s="139"/>
      <c r="C43" s="922"/>
      <c r="D43" s="742" t="str">
        <f>$D$11</f>
        <v>2023 - 2024</v>
      </c>
      <c r="E43" s="743"/>
      <c r="F43" s="923">
        <v>0</v>
      </c>
      <c r="G43" s="924">
        <v>0</v>
      </c>
      <c r="H43" s="925">
        <v>0</v>
      </c>
      <c r="I43" s="924">
        <v>0</v>
      </c>
      <c r="J43" s="925">
        <v>0</v>
      </c>
      <c r="K43" s="925">
        <v>0</v>
      </c>
    </row>
    <row r="44" spans="1:11" ht="15.9" customHeight="1" x14ac:dyDescent="0.3">
      <c r="A44" s="139"/>
      <c r="B44" s="139"/>
      <c r="C44" s="922"/>
      <c r="D44" s="742" t="str">
        <f>D40</f>
        <v>2022 - 2023</v>
      </c>
      <c r="E44" s="743"/>
      <c r="F44" s="923">
        <v>0</v>
      </c>
      <c r="G44" s="924">
        <v>0</v>
      </c>
      <c r="H44" s="925">
        <v>0</v>
      </c>
      <c r="I44" s="924">
        <v>0</v>
      </c>
      <c r="J44" s="925">
        <v>0</v>
      </c>
      <c r="K44" s="925">
        <v>0</v>
      </c>
    </row>
    <row r="45" spans="1:11" ht="8.1" customHeight="1" x14ac:dyDescent="0.3">
      <c r="A45" s="139"/>
      <c r="B45" s="139"/>
      <c r="C45" s="922"/>
      <c r="D45" s="742"/>
      <c r="E45" s="743"/>
      <c r="F45" s="743"/>
      <c r="G45" s="219"/>
      <c r="H45" s="744"/>
      <c r="I45" s="219"/>
      <c r="J45" s="744"/>
      <c r="K45" s="744"/>
    </row>
    <row r="46" spans="1:11" ht="15.9" customHeight="1" x14ac:dyDescent="0.3">
      <c r="A46" s="139"/>
      <c r="B46" s="139"/>
      <c r="C46" s="922"/>
      <c r="D46" s="742" t="s">
        <v>129</v>
      </c>
      <c r="E46" s="743"/>
      <c r="F46" s="743"/>
      <c r="G46" s="219"/>
      <c r="H46" s="744"/>
      <c r="I46" s="219"/>
      <c r="J46" s="744"/>
      <c r="K46" s="744"/>
    </row>
    <row r="47" spans="1:11" ht="15.9" customHeight="1" x14ac:dyDescent="0.3">
      <c r="A47" s="139"/>
      <c r="B47" s="139"/>
      <c r="C47" s="922"/>
      <c r="D47" s="742" t="str">
        <f>$D$11</f>
        <v>2023 - 2024</v>
      </c>
      <c r="E47" s="743"/>
      <c r="F47" s="923">
        <v>0</v>
      </c>
      <c r="G47" s="924">
        <v>0</v>
      </c>
      <c r="H47" s="925">
        <v>0</v>
      </c>
      <c r="I47" s="924">
        <v>0</v>
      </c>
      <c r="J47" s="925">
        <v>0</v>
      </c>
      <c r="K47" s="925">
        <v>0</v>
      </c>
    </row>
    <row r="48" spans="1:11" ht="15.9" customHeight="1" x14ac:dyDescent="0.3">
      <c r="A48" s="139"/>
      <c r="B48" s="139"/>
      <c r="C48" s="922"/>
      <c r="D48" s="742" t="str">
        <f>D44</f>
        <v>2022 - 2023</v>
      </c>
      <c r="E48" s="743"/>
      <c r="F48" s="923">
        <v>0</v>
      </c>
      <c r="G48" s="924">
        <v>0</v>
      </c>
      <c r="H48" s="925">
        <v>0</v>
      </c>
      <c r="I48" s="924">
        <v>0</v>
      </c>
      <c r="J48" s="925">
        <v>0</v>
      </c>
      <c r="K48" s="925">
        <v>0</v>
      </c>
    </row>
    <row r="49" spans="1:12" ht="8.1" customHeight="1" x14ac:dyDescent="0.3">
      <c r="A49" s="139"/>
      <c r="B49" s="139"/>
      <c r="C49" s="922"/>
      <c r="D49" s="742"/>
      <c r="E49" s="743"/>
      <c r="F49" s="743"/>
      <c r="G49" s="219"/>
      <c r="H49" s="744"/>
      <c r="I49" s="219"/>
      <c r="J49" s="744"/>
      <c r="K49" s="744"/>
    </row>
    <row r="50" spans="1:12" ht="15.9" customHeight="1" x14ac:dyDescent="0.3">
      <c r="A50" s="139"/>
      <c r="B50" s="139"/>
      <c r="C50" s="922"/>
      <c r="D50" s="742" t="s">
        <v>130</v>
      </c>
      <c r="E50" s="743"/>
      <c r="F50" s="743"/>
      <c r="G50" s="219"/>
      <c r="H50" s="744"/>
      <c r="I50" s="219"/>
      <c r="J50" s="744"/>
      <c r="K50" s="744"/>
    </row>
    <row r="51" spans="1:12" ht="15.9" customHeight="1" x14ac:dyDescent="0.3">
      <c r="A51" s="139"/>
      <c r="B51" s="139"/>
      <c r="C51" s="922"/>
      <c r="D51" s="742" t="str">
        <f>$D$11</f>
        <v>2023 - 2024</v>
      </c>
      <c r="E51" s="743"/>
      <c r="F51" s="923">
        <v>0</v>
      </c>
      <c r="G51" s="924">
        <v>0</v>
      </c>
      <c r="H51" s="925">
        <v>0</v>
      </c>
      <c r="I51" s="924">
        <v>0</v>
      </c>
      <c r="J51" s="925">
        <v>0</v>
      </c>
      <c r="K51" s="925">
        <v>0</v>
      </c>
    </row>
    <row r="52" spans="1:12" ht="15.9" customHeight="1" x14ac:dyDescent="0.3">
      <c r="A52" s="139"/>
      <c r="B52" s="139"/>
      <c r="C52" s="922"/>
      <c r="D52" s="742" t="str">
        <f>D48</f>
        <v>2022 - 2023</v>
      </c>
      <c r="E52" s="743"/>
      <c r="F52" s="923">
        <v>0</v>
      </c>
      <c r="G52" s="924">
        <v>0</v>
      </c>
      <c r="H52" s="925">
        <v>0</v>
      </c>
      <c r="I52" s="924">
        <v>0</v>
      </c>
      <c r="J52" s="925">
        <v>0</v>
      </c>
      <c r="K52" s="925">
        <v>0</v>
      </c>
    </row>
    <row r="53" spans="1:12" ht="8.1" customHeight="1" x14ac:dyDescent="0.3">
      <c r="A53" s="139"/>
      <c r="B53" s="139"/>
      <c r="C53" s="922"/>
      <c r="D53" s="918"/>
      <c r="E53" s="919"/>
      <c r="F53" s="743"/>
      <c r="G53" s="219"/>
      <c r="H53" s="744"/>
      <c r="I53" s="219"/>
      <c r="J53" s="744"/>
      <c r="K53" s="926"/>
    </row>
    <row r="54" spans="1:12" ht="15.9" customHeight="1" x14ac:dyDescent="0.3">
      <c r="A54" s="139"/>
      <c r="B54" s="139"/>
      <c r="C54" s="922"/>
      <c r="D54" s="927" t="s">
        <v>103</v>
      </c>
      <c r="E54" s="928"/>
      <c r="F54" s="928"/>
      <c r="G54" s="929"/>
      <c r="H54" s="930"/>
      <c r="I54" s="928"/>
      <c r="J54" s="930"/>
      <c r="K54" s="928"/>
    </row>
    <row r="55" spans="1:12" ht="15.9" customHeight="1" x14ac:dyDescent="0.3">
      <c r="A55" s="139"/>
      <c r="B55" s="139"/>
      <c r="C55" s="922"/>
      <c r="D55" s="931" t="str">
        <f>$D$11</f>
        <v>2023 - 2024</v>
      </c>
      <c r="E55" s="932"/>
      <c r="F55" s="933">
        <f>SUM(F51,F47,F43,F39,F35,F31,F27,F23,F19,F15,F11)</f>
        <v>0</v>
      </c>
      <c r="G55" s="933">
        <f t="shared" ref="G55:K55" si="0">SUM(G51,G47,G43,G39,G35,G31,G27,G23,G19,G15,G11)</f>
        <v>0</v>
      </c>
      <c r="H55" s="933">
        <f t="shared" si="0"/>
        <v>0</v>
      </c>
      <c r="I55" s="933">
        <f t="shared" si="0"/>
        <v>0</v>
      </c>
      <c r="J55" s="933">
        <f t="shared" si="0"/>
        <v>0</v>
      </c>
      <c r="K55" s="933">
        <f t="shared" si="0"/>
        <v>0</v>
      </c>
    </row>
    <row r="56" spans="1:12" ht="15.9" customHeight="1" x14ac:dyDescent="0.3">
      <c r="A56" s="139"/>
      <c r="B56" s="139"/>
      <c r="C56" s="922"/>
      <c r="D56" s="934" t="str">
        <f>D52</f>
        <v>2022 - 2023</v>
      </c>
      <c r="E56" s="935"/>
      <c r="F56" s="936">
        <f>SUM(F52,F48,F44,F40,F36,F32,F28,F24,F20,F16,F12)</f>
        <v>0</v>
      </c>
      <c r="G56" s="936">
        <f t="shared" ref="G56:K56" si="1">SUM(G52,G48,G44,G40,G36,G32,G28,G24,G20,G16,G12)</f>
        <v>0</v>
      </c>
      <c r="H56" s="936">
        <f t="shared" si="1"/>
        <v>0</v>
      </c>
      <c r="I56" s="936">
        <f t="shared" si="1"/>
        <v>0</v>
      </c>
      <c r="J56" s="936">
        <f t="shared" si="1"/>
        <v>0</v>
      </c>
      <c r="K56" s="936">
        <f t="shared" si="1"/>
        <v>0</v>
      </c>
    </row>
    <row r="57" spans="1:12" ht="14.4" x14ac:dyDescent="0.3">
      <c r="A57" s="139"/>
      <c r="B57" s="139"/>
      <c r="C57" s="912"/>
      <c r="D57" s="219"/>
      <c r="E57" s="219"/>
      <c r="F57" s="219"/>
      <c r="G57" s="219"/>
      <c r="H57" s="219"/>
      <c r="I57" s="937"/>
      <c r="J57" s="219"/>
      <c r="K57" s="219"/>
    </row>
    <row r="58" spans="1:12" ht="14.4" x14ac:dyDescent="0.3">
      <c r="A58" s="139"/>
      <c r="B58" s="139"/>
      <c r="C58" s="911">
        <f>C4</f>
        <v>1.5</v>
      </c>
      <c r="D58" s="905" t="s">
        <v>1568</v>
      </c>
      <c r="E58" s="219"/>
      <c r="F58" s="219"/>
      <c r="G58" s="219"/>
      <c r="H58" s="219"/>
      <c r="I58" s="937"/>
      <c r="J58" s="219"/>
      <c r="K58" s="219"/>
    </row>
    <row r="59" spans="1:12" ht="14.4" x14ac:dyDescent="0.3">
      <c r="A59" s="640"/>
      <c r="B59" s="640"/>
      <c r="C59" s="912"/>
      <c r="D59" s="219"/>
      <c r="E59" s="219"/>
      <c r="F59" s="219"/>
      <c r="G59" s="219"/>
      <c r="H59" s="219"/>
      <c r="I59" s="937"/>
      <c r="J59" s="219"/>
      <c r="K59" s="219"/>
    </row>
    <row r="60" spans="1:12" ht="14.4" x14ac:dyDescent="0.3">
      <c r="A60" s="139"/>
      <c r="B60" s="139"/>
      <c r="C60" s="433" t="s">
        <v>90</v>
      </c>
      <c r="D60" s="938" t="s">
        <v>1318</v>
      </c>
      <c r="E60" s="938"/>
      <c r="F60" s="219"/>
      <c r="G60" s="219"/>
      <c r="H60" s="219"/>
      <c r="I60" s="219"/>
      <c r="J60" s="219"/>
      <c r="K60" s="219"/>
    </row>
    <row r="61" spans="1:12" ht="14.4" x14ac:dyDescent="0.3">
      <c r="A61" s="139"/>
      <c r="B61" s="139"/>
      <c r="C61" s="939"/>
      <c r="D61" s="219"/>
      <c r="E61" s="219"/>
      <c r="F61" s="219"/>
      <c r="G61" s="219"/>
      <c r="H61" s="940">
        <f>'Merge Details_Printing instr'!$A$19</f>
        <v>2024</v>
      </c>
      <c r="I61" s="940">
        <f>'Merge Details_Printing instr'!$A$20</f>
        <v>2023</v>
      </c>
      <c r="J61" s="220"/>
      <c r="K61" s="219"/>
      <c r="L61" s="317"/>
    </row>
    <row r="62" spans="1:12" ht="14.4" x14ac:dyDescent="0.3">
      <c r="A62" s="737"/>
      <c r="B62" s="737"/>
      <c r="C62" s="939"/>
      <c r="D62" s="219"/>
      <c r="E62" s="219"/>
      <c r="F62" s="219"/>
      <c r="G62" s="219"/>
      <c r="H62" s="941" t="s">
        <v>1720</v>
      </c>
      <c r="I62" s="941" t="s">
        <v>1720</v>
      </c>
      <c r="J62" s="220"/>
      <c r="K62" s="219"/>
      <c r="L62" s="317"/>
    </row>
    <row r="63" spans="1:12" ht="14.4" x14ac:dyDescent="0.3">
      <c r="A63" s="139"/>
      <c r="B63" s="139"/>
      <c r="C63" s="939"/>
      <c r="D63" s="219"/>
      <c r="E63" s="219"/>
      <c r="F63" s="219" t="s">
        <v>85</v>
      </c>
      <c r="G63" s="219"/>
      <c r="H63" s="924">
        <v>0</v>
      </c>
      <c r="I63" s="924">
        <v>0</v>
      </c>
      <c r="J63" s="219"/>
      <c r="K63" s="219"/>
    </row>
    <row r="64" spans="1:12" ht="14.4" x14ac:dyDescent="0.3">
      <c r="A64" s="139"/>
      <c r="B64" s="139"/>
      <c r="C64" s="939"/>
      <c r="D64" s="219"/>
      <c r="E64" s="219"/>
      <c r="F64" s="942" t="s">
        <v>150</v>
      </c>
      <c r="G64" s="942"/>
      <c r="H64" s="943">
        <v>0</v>
      </c>
      <c r="I64" s="943">
        <v>0</v>
      </c>
      <c r="J64" s="219"/>
      <c r="K64" s="219"/>
    </row>
    <row r="65" spans="1:11" ht="15" thickBot="1" x14ac:dyDescent="0.35">
      <c r="A65" s="139"/>
      <c r="B65" s="139"/>
      <c r="C65" s="939"/>
      <c r="D65" s="219"/>
      <c r="E65" s="219"/>
      <c r="F65" s="944"/>
      <c r="G65" s="944"/>
      <c r="H65" s="945">
        <f>H64+H63</f>
        <v>0</v>
      </c>
      <c r="I65" s="945">
        <f>I64+I63</f>
        <v>0</v>
      </c>
      <c r="J65" s="219"/>
      <c r="K65" s="219"/>
    </row>
    <row r="66" spans="1:11" ht="9" customHeight="1" x14ac:dyDescent="0.3">
      <c r="A66" s="139"/>
      <c r="B66" s="139"/>
      <c r="C66" s="946"/>
      <c r="D66" s="136"/>
      <c r="E66" s="136"/>
      <c r="F66" s="136"/>
      <c r="G66" s="136"/>
      <c r="H66" s="922"/>
      <c r="I66" s="922"/>
      <c r="J66" s="922"/>
      <c r="K66" s="922"/>
    </row>
    <row r="67" spans="1:11" ht="14.4" x14ac:dyDescent="0.3">
      <c r="A67" s="139"/>
      <c r="B67" s="139"/>
      <c r="C67" s="947" t="s">
        <v>91</v>
      </c>
      <c r="D67" s="948" t="s">
        <v>11</v>
      </c>
      <c r="E67" s="948"/>
      <c r="F67" s="136"/>
      <c r="G67" s="136"/>
      <c r="H67" s="922"/>
      <c r="I67" s="922"/>
      <c r="J67" s="922"/>
      <c r="K67" s="922"/>
    </row>
    <row r="68" spans="1:11" ht="14.4" x14ac:dyDescent="0.3">
      <c r="A68" s="139"/>
      <c r="B68" s="139"/>
      <c r="C68" s="946"/>
      <c r="D68" s="136" t="s">
        <v>759</v>
      </c>
      <c r="E68" s="136"/>
      <c r="F68" s="136"/>
      <c r="G68" s="136"/>
      <c r="H68" s="922"/>
      <c r="I68" s="922"/>
      <c r="J68" s="922"/>
      <c r="K68" s="922"/>
    </row>
    <row r="69" spans="1:11" ht="9" customHeight="1" x14ac:dyDescent="0.3">
      <c r="A69" s="139"/>
      <c r="B69" s="139"/>
      <c r="C69" s="922"/>
      <c r="D69" s="136"/>
      <c r="E69" s="136"/>
      <c r="F69" s="136"/>
      <c r="G69" s="136"/>
      <c r="H69" s="922"/>
      <c r="I69" s="922"/>
      <c r="J69" s="922"/>
      <c r="K69" s="922"/>
    </row>
    <row r="70" spans="1:11" ht="16.5" customHeight="1" x14ac:dyDescent="0.3">
      <c r="A70" s="139"/>
      <c r="B70" s="139"/>
      <c r="C70" s="922"/>
      <c r="D70" s="948" t="s">
        <v>12</v>
      </c>
      <c r="E70" s="948"/>
      <c r="F70" s="136"/>
      <c r="G70" s="136"/>
      <c r="H70" s="922"/>
      <c r="I70" s="922"/>
      <c r="J70" s="922"/>
      <c r="K70" s="922"/>
    </row>
    <row r="71" spans="1:11" ht="14.4" x14ac:dyDescent="0.25">
      <c r="A71" s="139"/>
      <c r="B71" s="139"/>
      <c r="C71" s="922"/>
      <c r="D71" s="2110" t="s">
        <v>647</v>
      </c>
      <c r="E71" s="2110"/>
      <c r="F71" s="2110"/>
      <c r="G71" s="2110"/>
      <c r="H71" s="2110"/>
      <c r="I71" s="2110"/>
      <c r="J71" s="2110"/>
      <c r="K71" s="2110"/>
    </row>
    <row r="72" spans="1:11" ht="9" customHeight="1" x14ac:dyDescent="0.3">
      <c r="A72" s="139"/>
      <c r="B72" s="139"/>
      <c r="C72" s="922"/>
      <c r="D72" s="136"/>
      <c r="E72" s="136"/>
      <c r="F72" s="136"/>
      <c r="G72" s="136"/>
      <c r="H72" s="922"/>
      <c r="I72" s="922"/>
      <c r="J72" s="922"/>
      <c r="K72" s="922"/>
    </row>
    <row r="73" spans="1:11" ht="16.5" customHeight="1" x14ac:dyDescent="0.3">
      <c r="A73" s="139"/>
      <c r="B73" s="139"/>
      <c r="C73" s="922"/>
      <c r="D73" s="948" t="s">
        <v>348</v>
      </c>
      <c r="E73" s="948"/>
      <c r="F73" s="136"/>
      <c r="G73" s="136"/>
      <c r="H73" s="922"/>
      <c r="I73" s="922"/>
      <c r="J73" s="922"/>
      <c r="K73" s="922"/>
    </row>
    <row r="74" spans="1:11" ht="30.75" customHeight="1" x14ac:dyDescent="0.25">
      <c r="A74" s="139"/>
      <c r="B74" s="139"/>
      <c r="C74" s="922"/>
      <c r="D74" s="2131" t="s">
        <v>13</v>
      </c>
      <c r="E74" s="2131"/>
      <c r="F74" s="2131"/>
      <c r="G74" s="2131"/>
      <c r="H74" s="2131"/>
      <c r="I74" s="2131"/>
      <c r="J74" s="2131"/>
      <c r="K74" s="2131"/>
    </row>
    <row r="75" spans="1:11" ht="9" customHeight="1" x14ac:dyDescent="0.3">
      <c r="A75" s="139"/>
      <c r="B75" s="139"/>
      <c r="C75" s="922"/>
      <c r="D75" s="136"/>
      <c r="E75" s="136"/>
      <c r="F75" s="136"/>
      <c r="G75" s="136"/>
      <c r="H75" s="922"/>
      <c r="I75" s="922"/>
      <c r="J75" s="922"/>
      <c r="K75" s="922"/>
    </row>
    <row r="76" spans="1:11" ht="14.4" x14ac:dyDescent="0.3">
      <c r="A76" s="139"/>
      <c r="B76" s="139"/>
      <c r="C76" s="922"/>
      <c r="D76" s="948" t="s">
        <v>9</v>
      </c>
      <c r="E76" s="948"/>
      <c r="F76" s="136"/>
      <c r="G76" s="136"/>
      <c r="H76" s="922"/>
      <c r="I76" s="922"/>
      <c r="J76" s="922"/>
      <c r="K76" s="922"/>
    </row>
    <row r="77" spans="1:11" ht="14.4" x14ac:dyDescent="0.3">
      <c r="A77" s="139"/>
      <c r="B77" s="139"/>
      <c r="C77" s="922"/>
      <c r="D77" s="136" t="s">
        <v>14</v>
      </c>
      <c r="E77" s="136"/>
      <c r="F77" s="136"/>
      <c r="G77" s="136"/>
      <c r="H77" s="922"/>
      <c r="I77" s="922"/>
      <c r="J77" s="922"/>
      <c r="K77" s="922"/>
    </row>
    <row r="78" spans="1:11" ht="9" customHeight="1" x14ac:dyDescent="0.3">
      <c r="A78" s="139"/>
      <c r="B78" s="139"/>
      <c r="C78" s="922"/>
      <c r="D78" s="136"/>
      <c r="E78" s="136"/>
      <c r="F78" s="136"/>
      <c r="G78" s="136"/>
      <c r="H78" s="922"/>
      <c r="I78" s="922"/>
      <c r="J78" s="922"/>
      <c r="K78" s="922"/>
    </row>
    <row r="79" spans="1:11" ht="16.5" customHeight="1" x14ac:dyDescent="0.3">
      <c r="A79" s="139"/>
      <c r="B79" s="139"/>
      <c r="C79" s="922"/>
      <c r="D79" s="948" t="s">
        <v>15</v>
      </c>
      <c r="E79" s="948"/>
      <c r="F79" s="136"/>
      <c r="G79" s="136"/>
      <c r="H79" s="922"/>
      <c r="I79" s="922"/>
      <c r="J79" s="922"/>
      <c r="K79" s="922"/>
    </row>
    <row r="80" spans="1:11" ht="39.75" customHeight="1" x14ac:dyDescent="0.25">
      <c r="A80" s="139"/>
      <c r="B80" s="139"/>
      <c r="C80" s="922"/>
      <c r="D80" s="2131" t="s">
        <v>16</v>
      </c>
      <c r="E80" s="2131"/>
      <c r="F80" s="2131"/>
      <c r="G80" s="2131"/>
      <c r="H80" s="2131"/>
      <c r="I80" s="2131"/>
      <c r="J80" s="2131"/>
      <c r="K80" s="2131"/>
    </row>
    <row r="81" spans="1:11" ht="35.25" customHeight="1" x14ac:dyDescent="0.25">
      <c r="A81" s="139"/>
      <c r="B81" s="139"/>
      <c r="C81" s="922"/>
      <c r="D81" s="2131" t="s">
        <v>17</v>
      </c>
      <c r="E81" s="2131"/>
      <c r="F81" s="2131"/>
      <c r="G81" s="2131"/>
      <c r="H81" s="2131"/>
      <c r="I81" s="2131"/>
      <c r="J81" s="2131"/>
      <c r="K81" s="2131"/>
    </row>
    <row r="82" spans="1:11" ht="9" customHeight="1" x14ac:dyDescent="0.3">
      <c r="A82" s="139"/>
      <c r="B82" s="139"/>
      <c r="C82" s="922"/>
      <c r="D82" s="136"/>
      <c r="E82" s="136"/>
      <c r="F82" s="136"/>
      <c r="G82" s="136"/>
      <c r="H82" s="922"/>
      <c r="I82" s="922"/>
      <c r="J82" s="922"/>
      <c r="K82" s="922"/>
    </row>
    <row r="83" spans="1:11" ht="14.4" x14ac:dyDescent="0.3">
      <c r="A83" s="139"/>
      <c r="B83" s="139"/>
      <c r="C83" s="922"/>
      <c r="D83" s="948" t="s">
        <v>10</v>
      </c>
      <c r="E83" s="948"/>
      <c r="F83" s="136"/>
      <c r="G83" s="136"/>
      <c r="H83" s="922"/>
      <c r="I83" s="922"/>
      <c r="J83" s="922"/>
      <c r="K83" s="922"/>
    </row>
    <row r="84" spans="1:11" ht="14.4" x14ac:dyDescent="0.25">
      <c r="A84" s="139"/>
      <c r="B84" s="139"/>
      <c r="C84" s="922"/>
      <c r="D84" s="2131" t="s">
        <v>18</v>
      </c>
      <c r="E84" s="2131"/>
      <c r="F84" s="2131"/>
      <c r="G84" s="2131"/>
      <c r="H84" s="2131"/>
      <c r="I84" s="2131"/>
      <c r="J84" s="2131"/>
      <c r="K84" s="2131"/>
    </row>
    <row r="85" spans="1:11" ht="9" customHeight="1" x14ac:dyDescent="0.3">
      <c r="A85" s="139"/>
      <c r="B85" s="139"/>
      <c r="C85" s="922"/>
      <c r="D85" s="136"/>
      <c r="E85" s="136"/>
      <c r="F85" s="136"/>
      <c r="G85" s="136"/>
      <c r="H85" s="922"/>
      <c r="I85" s="922"/>
      <c r="J85" s="922"/>
      <c r="K85" s="922"/>
    </row>
    <row r="86" spans="1:11" ht="14.4" x14ac:dyDescent="0.3">
      <c r="A86" s="139"/>
      <c r="B86" s="139"/>
      <c r="C86" s="922"/>
      <c r="D86" s="948" t="s">
        <v>19</v>
      </c>
      <c r="E86" s="948"/>
      <c r="F86" s="136"/>
      <c r="G86" s="136"/>
      <c r="H86" s="922"/>
      <c r="I86" s="922"/>
      <c r="J86" s="922"/>
      <c r="K86" s="922"/>
    </row>
    <row r="87" spans="1:11" ht="30" customHeight="1" x14ac:dyDescent="0.25">
      <c r="A87" s="139"/>
      <c r="B87" s="139"/>
      <c r="C87" s="922"/>
      <c r="D87" s="2131" t="s">
        <v>131</v>
      </c>
      <c r="E87" s="2131"/>
      <c r="F87" s="2131"/>
      <c r="G87" s="2131"/>
      <c r="H87" s="2131"/>
      <c r="I87" s="2131"/>
      <c r="J87" s="2131"/>
      <c r="K87" s="2131"/>
    </row>
    <row r="88" spans="1:11" ht="9" customHeight="1" x14ac:dyDescent="0.3">
      <c r="A88" s="139"/>
      <c r="B88" s="139"/>
      <c r="C88" s="922"/>
      <c r="D88" s="136"/>
      <c r="E88" s="136"/>
      <c r="F88" s="136"/>
      <c r="G88" s="136"/>
      <c r="H88" s="922"/>
      <c r="I88" s="922"/>
      <c r="J88" s="922"/>
      <c r="K88" s="922"/>
    </row>
    <row r="89" spans="1:11" ht="16.5" customHeight="1" x14ac:dyDescent="0.3">
      <c r="A89" s="139"/>
      <c r="B89" s="139"/>
      <c r="C89" s="922"/>
      <c r="D89" s="948" t="s">
        <v>20</v>
      </c>
      <c r="E89" s="948"/>
      <c r="F89" s="136"/>
      <c r="G89" s="136"/>
      <c r="H89" s="922"/>
      <c r="I89" s="922"/>
      <c r="J89" s="922"/>
      <c r="K89" s="922"/>
    </row>
    <row r="90" spans="1:11" ht="56.25" customHeight="1" x14ac:dyDescent="0.25">
      <c r="A90" s="139"/>
      <c r="B90" s="139"/>
      <c r="C90" s="922"/>
      <c r="D90" s="2131" t="s">
        <v>1290</v>
      </c>
      <c r="E90" s="2131"/>
      <c r="F90" s="2131"/>
      <c r="G90" s="2131"/>
      <c r="H90" s="2131"/>
      <c r="I90" s="2131"/>
      <c r="J90" s="2131"/>
      <c r="K90" s="2131"/>
    </row>
    <row r="91" spans="1:11" ht="9" customHeight="1" x14ac:dyDescent="0.25">
      <c r="A91" s="543"/>
      <c r="B91" s="543"/>
      <c r="C91" s="922"/>
      <c r="D91" s="772"/>
      <c r="E91" s="772"/>
      <c r="F91" s="772"/>
      <c r="G91" s="772"/>
      <c r="H91" s="772"/>
      <c r="I91" s="772"/>
      <c r="J91" s="772"/>
      <c r="K91" s="772"/>
    </row>
    <row r="92" spans="1:11" ht="14.4" x14ac:dyDescent="0.3">
      <c r="A92" s="139"/>
      <c r="B92" s="139"/>
      <c r="C92" s="922"/>
      <c r="D92" s="948" t="s">
        <v>21</v>
      </c>
      <c r="E92" s="948"/>
      <c r="F92" s="136"/>
      <c r="G92" s="136"/>
      <c r="H92" s="922"/>
      <c r="I92" s="922"/>
      <c r="J92" s="922"/>
      <c r="K92" s="922"/>
    </row>
    <row r="93" spans="1:11" ht="14.4" x14ac:dyDescent="0.25">
      <c r="A93" s="139"/>
      <c r="B93" s="139"/>
      <c r="C93" s="922"/>
      <c r="D93" s="2131" t="s">
        <v>22</v>
      </c>
      <c r="E93" s="2131"/>
      <c r="F93" s="2131"/>
      <c r="G93" s="2131"/>
      <c r="H93" s="2131"/>
      <c r="I93" s="2131"/>
      <c r="J93" s="2131"/>
      <c r="K93" s="2131"/>
    </row>
    <row r="94" spans="1:11" ht="9" customHeight="1" x14ac:dyDescent="0.3">
      <c r="A94" s="139"/>
      <c r="B94" s="139"/>
      <c r="C94" s="922"/>
      <c r="D94" s="136"/>
      <c r="E94" s="136"/>
      <c r="F94" s="136"/>
      <c r="G94" s="136"/>
      <c r="H94" s="922"/>
      <c r="I94" s="922"/>
      <c r="J94" s="922"/>
      <c r="K94" s="922"/>
    </row>
    <row r="95" spans="1:11" ht="14.4" x14ac:dyDescent="0.3">
      <c r="A95" s="139"/>
      <c r="B95" s="139"/>
      <c r="C95" s="922"/>
      <c r="D95" s="948" t="s">
        <v>23</v>
      </c>
      <c r="E95" s="948"/>
      <c r="F95" s="136"/>
      <c r="G95" s="136"/>
      <c r="H95" s="922"/>
      <c r="I95" s="922"/>
      <c r="J95" s="922"/>
      <c r="K95" s="922"/>
    </row>
    <row r="96" spans="1:11" ht="14.4" x14ac:dyDescent="0.25">
      <c r="A96" s="139"/>
      <c r="B96" s="139"/>
      <c r="C96" s="922"/>
      <c r="D96" s="2131" t="s">
        <v>24</v>
      </c>
      <c r="E96" s="2131"/>
      <c r="F96" s="2131"/>
      <c r="G96" s="2131"/>
      <c r="H96" s="2131"/>
      <c r="I96" s="2131"/>
      <c r="J96" s="2131"/>
      <c r="K96" s="2131"/>
    </row>
    <row r="97" spans="1:11" ht="9" customHeight="1" x14ac:dyDescent="0.3">
      <c r="A97" s="139"/>
      <c r="B97" s="139"/>
      <c r="C97" s="922"/>
      <c r="D97" s="136"/>
      <c r="E97" s="136"/>
      <c r="F97" s="136"/>
      <c r="G97" s="136"/>
      <c r="H97" s="922"/>
      <c r="I97" s="922"/>
      <c r="J97" s="922"/>
      <c r="K97" s="922"/>
    </row>
    <row r="98" spans="1:11" ht="14.4" x14ac:dyDescent="0.3">
      <c r="A98" s="139"/>
      <c r="B98" s="139"/>
      <c r="C98" s="922"/>
      <c r="D98" s="948" t="s">
        <v>130</v>
      </c>
      <c r="E98" s="948"/>
      <c r="F98" s="136"/>
      <c r="G98" s="136"/>
      <c r="H98" s="922"/>
      <c r="I98" s="922"/>
      <c r="J98" s="922"/>
      <c r="K98" s="922"/>
    </row>
    <row r="99" spans="1:11" ht="14.4" x14ac:dyDescent="0.3">
      <c r="A99" s="139"/>
      <c r="B99" s="139"/>
      <c r="C99" s="922"/>
      <c r="D99" s="136" t="s">
        <v>25</v>
      </c>
      <c r="E99" s="136"/>
      <c r="F99" s="136"/>
      <c r="G99" s="136"/>
      <c r="H99" s="922"/>
      <c r="I99" s="922"/>
      <c r="J99" s="922"/>
      <c r="K99" s="922"/>
    </row>
    <row r="106" spans="1:11" x14ac:dyDescent="0.25">
      <c r="H106" s="6">
        <f>H105-H104</f>
        <v>0</v>
      </c>
    </row>
  </sheetData>
  <mergeCells count="11">
    <mergeCell ref="E1:J1"/>
    <mergeCell ref="E2:J2"/>
    <mergeCell ref="D96:K96"/>
    <mergeCell ref="D71:K71"/>
    <mergeCell ref="D74:K74"/>
    <mergeCell ref="D80:K80"/>
    <mergeCell ref="D81:K81"/>
    <mergeCell ref="D84:K84"/>
    <mergeCell ref="D87:K87"/>
    <mergeCell ref="D90:K90"/>
    <mergeCell ref="D93:K93"/>
  </mergeCells>
  <phoneticPr fontId="33" type="noConversion"/>
  <printOptions horizontalCentered="1"/>
  <pageMargins left="0.31496062992125984" right="0.31496062992125984" top="0.35433070866141736" bottom="0.35433070866141736" header="0.11811023622047245" footer="0.11811023622047245"/>
  <pageSetup paperSize="9" orientation="portrait" r:id="rId1"/>
  <headerFooter alignWithMargins="0">
    <oddFooter>&amp;C&amp;P</oddFooter>
  </headerFooter>
  <rowBreaks count="1" manualBreakCount="1">
    <brk id="57" min="2" max="9"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AB1151"/>
  <sheetViews>
    <sheetView showGridLines="0" view="pageBreakPreview" zoomScale="110" zoomScaleNormal="100" zoomScaleSheetLayoutView="110" workbookViewId="0"/>
  </sheetViews>
  <sheetFormatPr defaultColWidth="9" defaultRowHeight="13.8" x14ac:dyDescent="0.25"/>
  <cols>
    <col min="1" max="1" width="8" style="1" customWidth="1"/>
    <col min="2" max="2" width="8.59765625" style="1" customWidth="1"/>
    <col min="3" max="3" width="2.19921875" style="1" customWidth="1"/>
    <col min="4" max="4" width="4.3984375" style="126" bestFit="1" customWidth="1"/>
    <col min="5" max="5" width="3.3984375" style="126" customWidth="1"/>
    <col min="6" max="6" width="4.09765625" style="1" customWidth="1"/>
    <col min="7" max="7" width="7.5" style="126" customWidth="1"/>
    <col min="8" max="8" width="41" style="1" customWidth="1"/>
    <col min="9" max="9" width="2.3984375" style="1" customWidth="1"/>
    <col min="10" max="10" width="1.3984375" style="1" customWidth="1"/>
    <col min="11" max="11" width="10.09765625" style="1" customWidth="1"/>
    <col min="12" max="12" width="1.19921875" style="11" customWidth="1"/>
    <col min="13" max="13" width="10.09765625" style="1" customWidth="1"/>
    <col min="14" max="14" width="1.8984375" style="1" customWidth="1"/>
    <col min="15" max="15" width="8.3984375" style="1" customWidth="1"/>
    <col min="16" max="16" width="28.69921875" style="1" customWidth="1"/>
    <col min="17" max="17" width="8.69921875" style="1" customWidth="1"/>
    <col min="18" max="18" width="11.09765625" style="11" customWidth="1"/>
    <col min="19" max="19" width="3.09765625" style="11" customWidth="1"/>
    <col min="20" max="20" width="7.69921875" style="11" customWidth="1"/>
    <col min="21" max="21" width="6" style="1" customWidth="1"/>
    <col min="22" max="22" width="11.5" style="1" customWidth="1"/>
    <col min="23" max="16384" width="9" style="1"/>
  </cols>
  <sheetData>
    <row r="1" spans="1:20" ht="16.5" customHeight="1" x14ac:dyDescent="0.25">
      <c r="A1" s="145" t="s">
        <v>206</v>
      </c>
      <c r="B1" s="145"/>
      <c r="C1" s="50" t="str">
        <f>IF('Merge Details_Printing instr'!$B$11="Insert details here",'Merge Details_Printing instr'!$A$11,'Merge Details_Printing instr'!$B$11)</f>
        <v>Council Name</v>
      </c>
      <c r="H1" s="2129" t="s">
        <v>303</v>
      </c>
      <c r="I1" s="2129"/>
      <c r="J1" s="2129"/>
      <c r="K1" s="2129"/>
      <c r="L1" s="2129"/>
      <c r="M1" s="2129"/>
    </row>
    <row r="2" spans="1:20" s="32" customFormat="1" ht="18.75" customHeight="1" x14ac:dyDescent="0.25">
      <c r="A2" s="145" t="s">
        <v>696</v>
      </c>
      <c r="B2" s="145" t="s">
        <v>207</v>
      </c>
      <c r="C2" s="98" t="str">
        <f>'Merge Details_Printing instr'!A12</f>
        <v>2023-2024 Financial Report</v>
      </c>
      <c r="D2" s="275"/>
      <c r="E2" s="275"/>
      <c r="F2" s="33"/>
      <c r="G2" s="275"/>
      <c r="H2" s="2130" t="str">
        <f>'Merge Details_Printing instr'!$A$14</f>
        <v>For the Year Ended 30 June 2024</v>
      </c>
      <c r="I2" s="2130"/>
      <c r="J2" s="2130"/>
      <c r="K2" s="2130"/>
      <c r="L2" s="2130"/>
      <c r="M2" s="2130"/>
      <c r="P2" s="1"/>
      <c r="R2" s="34"/>
      <c r="S2" s="34"/>
      <c r="T2" s="34"/>
    </row>
    <row r="3" spans="1:20" s="3" customFormat="1" ht="6" customHeight="1" x14ac:dyDescent="0.25">
      <c r="A3" s="237"/>
      <c r="B3" s="237"/>
      <c r="D3" s="641"/>
      <c r="E3" s="641"/>
      <c r="F3" s="4"/>
      <c r="G3" s="273"/>
      <c r="K3" s="49"/>
      <c r="L3" s="102"/>
      <c r="M3" s="30"/>
      <c r="O3" s="246"/>
      <c r="P3" s="1"/>
      <c r="R3" s="19"/>
      <c r="S3" s="19"/>
      <c r="T3" s="19"/>
    </row>
    <row r="4" spans="1:20" s="3" customFormat="1" ht="15" x14ac:dyDescent="0.3">
      <c r="A4" s="237"/>
      <c r="B4" s="237"/>
      <c r="C4" s="136"/>
      <c r="D4" s="951"/>
      <c r="E4" s="951"/>
      <c r="F4" s="951"/>
      <c r="G4" s="951"/>
      <c r="H4" s="952"/>
      <c r="I4" s="952"/>
      <c r="J4" s="952"/>
      <c r="K4" s="953">
        <f>'Merge Details_Printing instr'!A19</f>
        <v>2024</v>
      </c>
      <c r="L4" s="954"/>
      <c r="M4" s="953">
        <f>'Merge Details_Printing instr'!A20</f>
        <v>2023</v>
      </c>
      <c r="N4" s="955"/>
      <c r="O4" s="246"/>
      <c r="P4" s="1"/>
      <c r="R4" s="19"/>
      <c r="S4" s="19"/>
      <c r="T4" s="19"/>
    </row>
    <row r="5" spans="1:20" s="3" customFormat="1" ht="15" x14ac:dyDescent="0.3">
      <c r="A5" s="237"/>
      <c r="B5" s="237"/>
      <c r="C5" s="136"/>
      <c r="D5" s="956"/>
      <c r="E5" s="956"/>
      <c r="F5" s="957"/>
      <c r="G5" s="956"/>
      <c r="H5" s="955"/>
      <c r="I5" s="955"/>
      <c r="J5" s="955"/>
      <c r="K5" s="958" t="s">
        <v>60</v>
      </c>
      <c r="L5" s="959"/>
      <c r="M5" s="954" t="s">
        <v>60</v>
      </c>
      <c r="N5" s="955"/>
      <c r="O5" s="246"/>
      <c r="P5" s="1"/>
      <c r="R5" s="19"/>
      <c r="S5" s="19"/>
      <c r="T5" s="19"/>
    </row>
    <row r="6" spans="1:20" s="246" customFormat="1" ht="15" x14ac:dyDescent="0.3">
      <c r="A6" s="237"/>
      <c r="B6" s="237"/>
      <c r="C6" s="136"/>
      <c r="D6" s="956" t="s">
        <v>286</v>
      </c>
      <c r="E6" s="956">
        <v>2</v>
      </c>
      <c r="F6" s="960" t="s">
        <v>594</v>
      </c>
      <c r="G6" s="955"/>
      <c r="H6" s="955"/>
      <c r="I6" s="955"/>
      <c r="J6" s="955"/>
      <c r="K6" s="958"/>
      <c r="L6" s="959"/>
      <c r="M6" s="954"/>
      <c r="N6" s="955"/>
      <c r="P6" s="1"/>
      <c r="R6" s="19"/>
      <c r="S6" s="19"/>
      <c r="T6" s="19"/>
    </row>
    <row r="7" spans="1:20" s="3" customFormat="1" ht="15" x14ac:dyDescent="0.3">
      <c r="A7" s="144"/>
      <c r="B7" s="144"/>
      <c r="C7" s="136"/>
      <c r="D7" s="961" t="s">
        <v>286</v>
      </c>
      <c r="E7" s="956">
        <v>2.1</v>
      </c>
      <c r="F7" s="956" t="s">
        <v>257</v>
      </c>
      <c r="G7" s="955"/>
      <c r="H7" s="955"/>
      <c r="I7" s="955"/>
      <c r="J7" s="955"/>
      <c r="K7" s="962"/>
      <c r="L7" s="955"/>
      <c r="M7" s="962"/>
      <c r="N7" s="955"/>
      <c r="O7" s="246"/>
      <c r="P7" s="1"/>
      <c r="R7" s="19"/>
      <c r="S7" s="19"/>
      <c r="T7" s="19"/>
    </row>
    <row r="8" spans="1:20" s="3" customFormat="1" ht="30.75" customHeight="1" x14ac:dyDescent="0.3">
      <c r="A8" s="139"/>
      <c r="B8" s="144"/>
      <c r="C8" s="136"/>
      <c r="D8" s="963"/>
      <c r="E8" s="963"/>
      <c r="F8" s="2138" t="s">
        <v>1764</v>
      </c>
      <c r="G8" s="2138"/>
      <c r="H8" s="2138"/>
      <c r="I8" s="2138"/>
      <c r="J8" s="2138"/>
      <c r="K8" s="2138"/>
      <c r="L8" s="2138"/>
      <c r="M8" s="2138"/>
      <c r="N8" s="955"/>
      <c r="O8" s="246"/>
      <c r="P8" s="1"/>
      <c r="R8" s="19"/>
      <c r="S8" s="19"/>
      <c r="T8" s="19"/>
    </row>
    <row r="9" spans="1:20" s="3" customFormat="1" ht="31.5" customHeight="1" x14ac:dyDescent="0.3">
      <c r="A9" s="144"/>
      <c r="B9" s="144"/>
      <c r="C9" s="949"/>
      <c r="D9" s="963"/>
      <c r="E9" s="963"/>
      <c r="F9" s="2138" t="str">
        <f>"The valuation base used to calculate general rates for "&amp;'Merge Details_Printing instr'!A22&amp;" was $&lt;&gt;.&lt;&gt; million ("&amp;'Merge Details_Printing instr'!A23&amp;" $&lt;&gt;.&lt;&gt; million). The "&amp;'Merge Details_Printing instr'!A22&amp;" rate in the &lt;valuation base&gt; dollar was $&lt;&gt; ("&amp;'Merge Details_Printing instr'!A23&amp;", &lt;&gt;)."</f>
        <v>The valuation base used to calculate general rates for 2023-24 was $&lt;&gt;.&lt;&gt; million (2022-23 $&lt;&gt;.&lt;&gt; million). The 2023-24 rate in the &lt;valuation base&gt; dollar was $&lt;&gt; (2022-23, &lt;&gt;).</v>
      </c>
      <c r="G9" s="2138"/>
      <c r="H9" s="2138"/>
      <c r="I9" s="2138"/>
      <c r="J9" s="2138"/>
      <c r="K9" s="2138"/>
      <c r="L9" s="2138"/>
      <c r="M9" s="2138"/>
      <c r="N9" s="955"/>
      <c r="O9" s="246"/>
      <c r="P9" s="301" t="s">
        <v>1311</v>
      </c>
      <c r="R9" s="19"/>
      <c r="S9" s="19"/>
      <c r="T9" s="19"/>
    </row>
    <row r="10" spans="1:20" s="3" customFormat="1" ht="7.5" customHeight="1" x14ac:dyDescent="0.3">
      <c r="A10" s="144"/>
      <c r="B10" s="144"/>
      <c r="C10" s="136"/>
      <c r="D10" s="963"/>
      <c r="E10" s="963"/>
      <c r="F10" s="955"/>
      <c r="G10" s="963"/>
      <c r="H10" s="955"/>
      <c r="I10" s="955"/>
      <c r="J10" s="955"/>
      <c r="K10" s="964"/>
      <c r="L10" s="965"/>
      <c r="M10" s="964"/>
      <c r="N10" s="955"/>
      <c r="O10" s="246"/>
      <c r="P10" s="1"/>
      <c r="R10" s="19"/>
      <c r="S10" s="19"/>
      <c r="T10" s="19"/>
    </row>
    <row r="11" spans="1:20" s="3" customFormat="1" ht="15" x14ac:dyDescent="0.3">
      <c r="A11" s="144"/>
      <c r="B11" s="235"/>
      <c r="C11" s="136"/>
      <c r="D11" s="963"/>
      <c r="E11" s="963"/>
      <c r="F11" s="955"/>
      <c r="G11" s="963"/>
      <c r="H11" s="966" t="s">
        <v>617</v>
      </c>
      <c r="I11" s="955"/>
      <c r="J11" s="955"/>
      <c r="K11" s="967">
        <f>13403+1014</f>
        <v>14417</v>
      </c>
      <c r="L11" s="968"/>
      <c r="M11" s="967">
        <v>12951</v>
      </c>
      <c r="N11" s="955"/>
      <c r="O11" s="246"/>
      <c r="P11" s="1"/>
      <c r="R11" s="19"/>
      <c r="S11" s="19"/>
      <c r="T11" s="19"/>
    </row>
    <row r="12" spans="1:20" s="3" customFormat="1" ht="15" x14ac:dyDescent="0.3">
      <c r="A12" s="144"/>
      <c r="B12" s="144"/>
      <c r="C12" s="136"/>
      <c r="D12" s="963"/>
      <c r="E12" s="963"/>
      <c r="F12" s="955"/>
      <c r="G12" s="963"/>
      <c r="H12" s="955" t="s">
        <v>618</v>
      </c>
      <c r="I12" s="955"/>
      <c r="J12" s="955"/>
      <c r="K12" s="967">
        <v>10411</v>
      </c>
      <c r="L12" s="969"/>
      <c r="M12" s="967">
        <v>9755</v>
      </c>
      <c r="N12" s="955"/>
      <c r="O12" s="246"/>
      <c r="P12" s="1"/>
      <c r="R12" s="19"/>
      <c r="S12" s="19"/>
      <c r="T12" s="19"/>
    </row>
    <row r="13" spans="1:20" s="3" customFormat="1" ht="15" x14ac:dyDescent="0.3">
      <c r="A13" s="144"/>
      <c r="B13" s="144"/>
      <c r="C13" s="136"/>
      <c r="D13" s="963"/>
      <c r="E13" s="963"/>
      <c r="F13" s="955"/>
      <c r="G13" s="963"/>
      <c r="H13" s="955" t="s">
        <v>619</v>
      </c>
      <c r="I13" s="955"/>
      <c r="J13" s="955"/>
      <c r="K13" s="967">
        <v>9255</v>
      </c>
      <c r="L13" s="969"/>
      <c r="M13" s="967">
        <v>8672</v>
      </c>
      <c r="N13" s="955"/>
      <c r="O13" s="246"/>
      <c r="P13" s="1"/>
      <c r="R13" s="19"/>
      <c r="S13" s="19"/>
      <c r="T13" s="19"/>
    </row>
    <row r="14" spans="1:20" s="3" customFormat="1" ht="15" x14ac:dyDescent="0.3">
      <c r="A14" s="144"/>
      <c r="B14" s="144"/>
      <c r="C14" s="136"/>
      <c r="D14" s="963"/>
      <c r="E14" s="963"/>
      <c r="F14" s="955"/>
      <c r="G14" s="963"/>
      <c r="H14" s="955" t="s">
        <v>646</v>
      </c>
      <c r="I14" s="955"/>
      <c r="J14" s="955"/>
      <c r="K14" s="967">
        <v>4617</v>
      </c>
      <c r="L14" s="969"/>
      <c r="M14" s="967">
        <v>4336</v>
      </c>
      <c r="N14" s="955"/>
      <c r="O14" s="246"/>
      <c r="P14" s="1"/>
      <c r="R14" s="19"/>
      <c r="S14" s="19"/>
      <c r="T14" s="19"/>
    </row>
    <row r="15" spans="1:20" s="3" customFormat="1" ht="15" x14ac:dyDescent="0.3">
      <c r="A15" s="144"/>
      <c r="B15" s="144"/>
      <c r="C15" s="136"/>
      <c r="D15" s="963"/>
      <c r="E15" s="963"/>
      <c r="F15" s="955"/>
      <c r="G15" s="963"/>
      <c r="H15" s="955" t="s">
        <v>548</v>
      </c>
      <c r="I15" s="955"/>
      <c r="J15" s="955"/>
      <c r="K15" s="967">
        <v>1314</v>
      </c>
      <c r="L15" s="969"/>
      <c r="M15" s="967">
        <v>1154</v>
      </c>
      <c r="N15" s="955"/>
      <c r="O15" s="246"/>
      <c r="P15" s="1"/>
      <c r="R15" s="19"/>
      <c r="S15" s="19"/>
      <c r="T15" s="19"/>
    </row>
    <row r="16" spans="1:20" s="3" customFormat="1" ht="15" x14ac:dyDescent="0.3">
      <c r="A16" s="144"/>
      <c r="B16" s="144"/>
      <c r="C16" s="136"/>
      <c r="D16" s="963"/>
      <c r="E16" s="963"/>
      <c r="F16" s="955"/>
      <c r="G16" s="963"/>
      <c r="H16" s="955" t="s">
        <v>705</v>
      </c>
      <c r="I16" s="955"/>
      <c r="J16" s="955"/>
      <c r="K16" s="967">
        <v>1155</v>
      </c>
      <c r="L16" s="969"/>
      <c r="M16" s="967">
        <v>1084</v>
      </c>
      <c r="N16" s="955"/>
      <c r="O16" s="246"/>
      <c r="P16" s="1"/>
      <c r="R16" s="19"/>
      <c r="S16" s="19"/>
      <c r="T16" s="19"/>
    </row>
    <row r="17" spans="1:20" s="3" customFormat="1" ht="15" x14ac:dyDescent="0.3">
      <c r="A17" s="144"/>
      <c r="B17" s="144"/>
      <c r="C17" s="136"/>
      <c r="D17" s="963"/>
      <c r="E17" s="963"/>
      <c r="F17" s="955"/>
      <c r="G17" s="963"/>
      <c r="H17" s="955" t="s">
        <v>475</v>
      </c>
      <c r="I17" s="955"/>
      <c r="J17" s="955"/>
      <c r="K17" s="967">
        <v>3412</v>
      </c>
      <c r="L17" s="969"/>
      <c r="M17" s="970">
        <v>3281</v>
      </c>
      <c r="N17" s="955"/>
      <c r="O17" s="246"/>
      <c r="P17" s="1"/>
      <c r="R17" s="19"/>
      <c r="S17" s="19"/>
      <c r="T17" s="19"/>
    </row>
    <row r="18" spans="1:20" s="3" customFormat="1" ht="15" x14ac:dyDescent="0.3">
      <c r="A18" s="144"/>
      <c r="B18" s="144"/>
      <c r="C18" s="136"/>
      <c r="D18" s="963"/>
      <c r="E18" s="963"/>
      <c r="F18" s="955"/>
      <c r="G18" s="963"/>
      <c r="H18" s="955" t="s">
        <v>531</v>
      </c>
      <c r="I18" s="955"/>
      <c r="J18" s="955"/>
      <c r="K18" s="967">
        <f>4627-K17</f>
        <v>1215</v>
      </c>
      <c r="L18" s="969"/>
      <c r="M18" s="970">
        <f>4391-M17</f>
        <v>1110</v>
      </c>
      <c r="N18" s="955"/>
      <c r="O18" s="246"/>
      <c r="P18" s="301" t="s">
        <v>1727</v>
      </c>
      <c r="R18" s="19"/>
      <c r="S18" s="19"/>
      <c r="T18" s="19"/>
    </row>
    <row r="19" spans="1:20" s="3" customFormat="1" ht="15" x14ac:dyDescent="0.3">
      <c r="A19" s="144"/>
      <c r="B19" s="144"/>
      <c r="C19" s="136"/>
      <c r="D19" s="963"/>
      <c r="E19" s="963"/>
      <c r="F19" s="955"/>
      <c r="G19" s="963"/>
      <c r="H19" s="957" t="s">
        <v>490</v>
      </c>
      <c r="I19" s="955"/>
      <c r="J19" s="955"/>
      <c r="K19" s="971">
        <f>SUM(K11:K18)</f>
        <v>45796</v>
      </c>
      <c r="L19" s="969"/>
      <c r="M19" s="971">
        <f>SUM(M11:M18)</f>
        <v>42343</v>
      </c>
      <c r="N19" s="972"/>
      <c r="O19" s="246"/>
      <c r="P19" s="1"/>
      <c r="R19" s="19"/>
      <c r="S19" s="19"/>
      <c r="T19" s="19"/>
    </row>
    <row r="20" spans="1:20" s="3" customFormat="1" ht="9.75" customHeight="1" x14ac:dyDescent="0.3">
      <c r="A20" s="144"/>
      <c r="B20" s="144"/>
      <c r="C20" s="136"/>
      <c r="D20" s="963"/>
      <c r="E20" s="963"/>
      <c r="F20" s="955"/>
      <c r="G20" s="963"/>
      <c r="H20" s="972"/>
      <c r="I20" s="955"/>
      <c r="J20" s="955"/>
      <c r="K20" s="969"/>
      <c r="L20" s="969"/>
      <c r="M20" s="969"/>
      <c r="N20" s="955"/>
      <c r="O20" s="246"/>
      <c r="P20" s="1"/>
      <c r="R20" s="19"/>
      <c r="S20" s="19"/>
      <c r="T20" s="19"/>
    </row>
    <row r="21" spans="1:20" s="3" customFormat="1" ht="33" customHeight="1" x14ac:dyDescent="0.3">
      <c r="A21" s="144"/>
      <c r="B21" s="144"/>
      <c r="C21" s="136"/>
      <c r="D21" s="963"/>
      <c r="E21" s="963"/>
      <c r="F21" s="2138" t="s">
        <v>1857</v>
      </c>
      <c r="G21" s="2138"/>
      <c r="H21" s="2138"/>
      <c r="I21" s="2138"/>
      <c r="J21" s="2138"/>
      <c r="K21" s="2138"/>
      <c r="L21" s="2138"/>
      <c r="M21" s="2138"/>
      <c r="N21" s="955"/>
      <c r="O21" s="246"/>
      <c r="P21" s="1"/>
      <c r="R21" s="19"/>
      <c r="S21" s="19"/>
      <c r="T21" s="19"/>
    </row>
    <row r="22" spans="1:20" s="246" customFormat="1" ht="7.5" customHeight="1" thickBot="1" x14ac:dyDescent="0.35">
      <c r="A22" s="237"/>
      <c r="B22" s="237"/>
      <c r="C22" s="136"/>
      <c r="D22" s="963"/>
      <c r="E22" s="963"/>
      <c r="F22" s="973"/>
      <c r="G22" s="973"/>
      <c r="H22" s="973"/>
      <c r="I22" s="973"/>
      <c r="J22" s="973"/>
      <c r="K22" s="973"/>
      <c r="L22" s="973"/>
      <c r="M22" s="973"/>
      <c r="N22" s="955"/>
      <c r="P22" s="1"/>
      <c r="R22" s="19"/>
      <c r="S22" s="19"/>
      <c r="T22" s="19"/>
    </row>
    <row r="23" spans="1:20" s="246" customFormat="1" ht="15" x14ac:dyDescent="0.3">
      <c r="A23" s="237"/>
      <c r="B23" s="237"/>
      <c r="C23" s="136"/>
      <c r="D23" s="963"/>
      <c r="E23" s="963"/>
      <c r="F23" s="974" t="s">
        <v>1133</v>
      </c>
      <c r="G23" s="975"/>
      <c r="H23" s="975"/>
      <c r="I23" s="975"/>
      <c r="J23" s="975"/>
      <c r="K23" s="975"/>
      <c r="L23" s="975"/>
      <c r="M23" s="976"/>
      <c r="N23" s="955"/>
      <c r="P23" s="301"/>
      <c r="R23" s="19"/>
      <c r="S23" s="19"/>
      <c r="T23" s="19"/>
    </row>
    <row r="24" spans="1:20" s="246" customFormat="1" ht="50.25" customHeight="1" thickBot="1" x14ac:dyDescent="0.35">
      <c r="A24" s="237"/>
      <c r="B24" s="237"/>
      <c r="C24" s="136"/>
      <c r="D24" s="963"/>
      <c r="E24" s="963"/>
      <c r="F24" s="2141" t="s">
        <v>1574</v>
      </c>
      <c r="G24" s="2142"/>
      <c r="H24" s="2142"/>
      <c r="I24" s="2142"/>
      <c r="J24" s="2142"/>
      <c r="K24" s="2142"/>
      <c r="L24" s="2142"/>
      <c r="M24" s="2143"/>
      <c r="N24" s="955"/>
      <c r="P24" s="301"/>
      <c r="R24" s="19"/>
      <c r="S24" s="19"/>
      <c r="T24" s="19"/>
    </row>
    <row r="25" spans="1:20" s="3" customFormat="1" ht="15" x14ac:dyDescent="0.3">
      <c r="A25" s="144"/>
      <c r="B25" s="144"/>
      <c r="C25" s="136"/>
      <c r="D25" s="963"/>
      <c r="E25" s="963"/>
      <c r="F25" s="955"/>
      <c r="G25" s="963"/>
      <c r="H25" s="955"/>
      <c r="I25" s="955"/>
      <c r="J25" s="955"/>
      <c r="K25" s="977"/>
      <c r="L25" s="968"/>
      <c r="M25" s="977"/>
      <c r="N25" s="955"/>
      <c r="O25" s="246"/>
      <c r="P25" s="1"/>
      <c r="R25" s="19"/>
      <c r="S25" s="19"/>
      <c r="T25" s="19"/>
    </row>
    <row r="26" spans="1:20" s="3" customFormat="1" ht="15" x14ac:dyDescent="0.3">
      <c r="A26" s="356" t="s">
        <v>1625</v>
      </c>
      <c r="B26" s="236"/>
      <c r="C26" s="136"/>
      <c r="D26" s="961" t="s">
        <v>286</v>
      </c>
      <c r="E26" s="961">
        <v>2.2000000000000002</v>
      </c>
      <c r="F26" s="960" t="s">
        <v>67</v>
      </c>
      <c r="G26" s="955"/>
      <c r="H26" s="955"/>
      <c r="I26" s="957"/>
      <c r="J26" s="957"/>
      <c r="K26" s="977"/>
      <c r="L26" s="968"/>
      <c r="M26" s="977"/>
      <c r="N26" s="955"/>
      <c r="O26" s="246"/>
      <c r="P26" s="1"/>
      <c r="R26" s="19"/>
      <c r="S26" s="19"/>
      <c r="T26" s="19"/>
    </row>
    <row r="27" spans="1:20" s="3" customFormat="1" ht="15" x14ac:dyDescent="0.3">
      <c r="A27" s="144"/>
      <c r="B27" s="144"/>
      <c r="C27" s="136"/>
      <c r="D27" s="963"/>
      <c r="E27" s="963"/>
      <c r="F27" s="955" t="s">
        <v>283</v>
      </c>
      <c r="G27" s="955"/>
      <c r="H27" s="955"/>
      <c r="I27" s="955"/>
      <c r="J27" s="955"/>
      <c r="K27" s="967">
        <v>2254</v>
      </c>
      <c r="L27" s="969"/>
      <c r="M27" s="967">
        <v>2162</v>
      </c>
      <c r="N27" s="955"/>
      <c r="O27" s="246"/>
      <c r="P27" s="1"/>
      <c r="R27" s="19"/>
      <c r="S27" s="19"/>
      <c r="T27" s="19"/>
    </row>
    <row r="28" spans="1:20" s="3" customFormat="1" ht="15" x14ac:dyDescent="0.3">
      <c r="A28" s="144"/>
      <c r="B28" s="144"/>
      <c r="C28" s="136"/>
      <c r="D28" s="963"/>
      <c r="E28" s="963"/>
      <c r="F28" s="963" t="s">
        <v>294</v>
      </c>
      <c r="G28" s="955"/>
      <c r="H28" s="955"/>
      <c r="I28" s="955"/>
      <c r="J28" s="955"/>
      <c r="K28" s="967">
        <f>98+206</f>
        <v>304</v>
      </c>
      <c r="L28" s="969"/>
      <c r="M28" s="967">
        <f>75+186</f>
        <v>261</v>
      </c>
      <c r="N28" s="955"/>
      <c r="O28" s="246"/>
      <c r="P28" s="1"/>
      <c r="R28" s="19"/>
      <c r="S28" s="19"/>
      <c r="T28" s="19"/>
    </row>
    <row r="29" spans="1:20" s="3" customFormat="1" ht="15" x14ac:dyDescent="0.3">
      <c r="A29" s="144"/>
      <c r="B29" s="144"/>
      <c r="C29" s="136"/>
      <c r="D29" s="963"/>
      <c r="E29" s="963"/>
      <c r="F29" s="955" t="s">
        <v>523</v>
      </c>
      <c r="G29" s="955"/>
      <c r="H29" s="955"/>
      <c r="I29" s="955"/>
      <c r="J29" s="955"/>
      <c r="K29" s="967">
        <v>125</v>
      </c>
      <c r="L29" s="969"/>
      <c r="M29" s="967">
        <v>115</v>
      </c>
      <c r="N29" s="955"/>
      <c r="O29" s="246"/>
      <c r="P29" s="1"/>
      <c r="R29" s="19"/>
      <c r="S29" s="19"/>
      <c r="T29" s="19"/>
    </row>
    <row r="30" spans="1:20" s="3" customFormat="1" ht="15" x14ac:dyDescent="0.3">
      <c r="A30" s="144"/>
      <c r="B30" s="144"/>
      <c r="C30" s="136"/>
      <c r="D30" s="963"/>
      <c r="E30" s="963"/>
      <c r="F30" s="955" t="s">
        <v>620</v>
      </c>
      <c r="G30" s="955"/>
      <c r="H30" s="955"/>
      <c r="I30" s="955"/>
      <c r="J30" s="955"/>
      <c r="K30" s="967">
        <v>135</v>
      </c>
      <c r="L30" s="969"/>
      <c r="M30" s="967">
        <v>165</v>
      </c>
      <c r="N30" s="955"/>
      <c r="O30" s="246"/>
      <c r="P30" s="1"/>
      <c r="R30" s="19"/>
      <c r="S30" s="19"/>
      <c r="T30" s="19"/>
    </row>
    <row r="31" spans="1:20" s="3" customFormat="1" ht="15" x14ac:dyDescent="0.3">
      <c r="A31" s="144"/>
      <c r="B31" s="144"/>
      <c r="C31" s="136"/>
      <c r="D31" s="963"/>
      <c r="E31" s="963"/>
      <c r="F31" s="957" t="s">
        <v>212</v>
      </c>
      <c r="G31" s="955"/>
      <c r="H31" s="955"/>
      <c r="I31" s="955"/>
      <c r="J31" s="955"/>
      <c r="K31" s="971">
        <f>SUM(K27:K30)</f>
        <v>2818</v>
      </c>
      <c r="L31" s="978"/>
      <c r="M31" s="971">
        <f>SUM(M27:M30)</f>
        <v>2703</v>
      </c>
      <c r="N31" s="955"/>
      <c r="O31" s="246"/>
      <c r="P31" s="1"/>
      <c r="R31" s="19"/>
      <c r="S31" s="19"/>
      <c r="T31" s="19"/>
    </row>
    <row r="32" spans="1:20" s="246" customFormat="1" ht="7.5" customHeight="1" thickBot="1" x14ac:dyDescent="0.35">
      <c r="A32" s="237"/>
      <c r="B32" s="237"/>
      <c r="C32" s="136"/>
      <c r="D32" s="963"/>
      <c r="E32" s="963"/>
      <c r="F32" s="957"/>
      <c r="G32" s="955"/>
      <c r="H32" s="955"/>
      <c r="I32" s="955"/>
      <c r="J32" s="955"/>
      <c r="K32" s="979"/>
      <c r="L32" s="978"/>
      <c r="M32" s="979"/>
      <c r="N32" s="955"/>
      <c r="P32" s="1"/>
      <c r="R32" s="19"/>
      <c r="S32" s="19"/>
      <c r="T32" s="19"/>
    </row>
    <row r="33" spans="1:20" s="246" customFormat="1" ht="15" x14ac:dyDescent="0.3">
      <c r="A33" s="237"/>
      <c r="B33" s="237"/>
      <c r="C33" s="2008"/>
      <c r="D33" s="963"/>
      <c r="E33" s="963"/>
      <c r="F33" s="974" t="s">
        <v>1546</v>
      </c>
      <c r="G33" s="975"/>
      <c r="H33" s="975"/>
      <c r="I33" s="975"/>
      <c r="J33" s="975"/>
      <c r="K33" s="975"/>
      <c r="L33" s="975"/>
      <c r="M33" s="976"/>
      <c r="N33" s="955"/>
      <c r="P33" s="2139" t="s">
        <v>2043</v>
      </c>
      <c r="Q33" s="2139"/>
      <c r="R33" s="2139"/>
      <c r="S33" s="19"/>
      <c r="T33" s="19"/>
    </row>
    <row r="34" spans="1:20" s="246" customFormat="1" ht="37.5" customHeight="1" thickBot="1" x14ac:dyDescent="0.35">
      <c r="A34" s="237"/>
      <c r="B34" s="237"/>
      <c r="C34" s="2008"/>
      <c r="D34" s="963"/>
      <c r="E34" s="963"/>
      <c r="F34" s="2144" t="s">
        <v>1998</v>
      </c>
      <c r="G34" s="2145"/>
      <c r="H34" s="2145"/>
      <c r="I34" s="2145"/>
      <c r="J34" s="2145"/>
      <c r="K34" s="2145"/>
      <c r="L34" s="2145"/>
      <c r="M34" s="2146"/>
      <c r="N34" s="955"/>
      <c r="P34" s="2139"/>
      <c r="Q34" s="2139"/>
      <c r="R34" s="2139"/>
      <c r="S34" s="19"/>
      <c r="T34" s="19"/>
    </row>
    <row r="35" spans="1:20" s="3" customFormat="1" ht="15" x14ac:dyDescent="0.3">
      <c r="A35" s="138"/>
      <c r="B35" s="138"/>
      <c r="C35" s="136"/>
      <c r="D35" s="963"/>
      <c r="E35" s="963"/>
      <c r="F35" s="955"/>
      <c r="G35" s="963"/>
      <c r="H35" s="955"/>
      <c r="I35" s="955"/>
      <c r="J35" s="955"/>
      <c r="K35" s="955"/>
      <c r="L35" s="952"/>
      <c r="M35" s="955"/>
      <c r="N35" s="955"/>
      <c r="O35" s="1"/>
      <c r="P35" s="1"/>
      <c r="R35" s="19"/>
      <c r="S35" s="19"/>
      <c r="T35" s="19"/>
    </row>
    <row r="36" spans="1:20" s="3" customFormat="1" ht="15" x14ac:dyDescent="0.3">
      <c r="A36" s="144"/>
      <c r="B36" s="237"/>
      <c r="C36" s="136"/>
      <c r="D36" s="961" t="s">
        <v>286</v>
      </c>
      <c r="E36" s="961">
        <f>E26+0.1</f>
        <v>2.3000000000000003</v>
      </c>
      <c r="F36" s="957" t="s">
        <v>258</v>
      </c>
      <c r="G36" s="955"/>
      <c r="H36" s="955"/>
      <c r="I36" s="955"/>
      <c r="J36" s="955"/>
      <c r="K36" s="977"/>
      <c r="L36" s="968"/>
      <c r="M36" s="977"/>
      <c r="N36" s="955"/>
      <c r="O36" s="246"/>
      <c r="P36" s="1"/>
      <c r="R36" s="19"/>
      <c r="S36" s="19"/>
      <c r="T36" s="19"/>
    </row>
    <row r="37" spans="1:20" s="3" customFormat="1" ht="15" x14ac:dyDescent="0.3">
      <c r="A37" s="144"/>
      <c r="B37" s="144"/>
      <c r="C37" s="136"/>
      <c r="D37" s="956"/>
      <c r="E37" s="963"/>
      <c r="F37" s="955" t="s">
        <v>516</v>
      </c>
      <c r="G37" s="955"/>
      <c r="H37" s="955"/>
      <c r="I37" s="955"/>
      <c r="J37" s="955"/>
      <c r="K37" s="980">
        <v>3914</v>
      </c>
      <c r="L37" s="981"/>
      <c r="M37" s="980">
        <v>3721</v>
      </c>
      <c r="N37" s="955"/>
      <c r="O37" s="246"/>
      <c r="P37" s="1"/>
      <c r="R37" s="19"/>
      <c r="S37" s="19"/>
      <c r="T37" s="19"/>
    </row>
    <row r="38" spans="1:20" s="3" customFormat="1" ht="15" x14ac:dyDescent="0.3">
      <c r="A38" s="144"/>
      <c r="B38" s="144"/>
      <c r="C38" s="136"/>
      <c r="D38" s="963"/>
      <c r="E38" s="963"/>
      <c r="F38" s="955" t="s">
        <v>517</v>
      </c>
      <c r="G38" s="955"/>
      <c r="H38" s="955"/>
      <c r="I38" s="955"/>
      <c r="J38" s="955"/>
      <c r="K38" s="980">
        <v>801</v>
      </c>
      <c r="L38" s="981"/>
      <c r="M38" s="980">
        <v>744</v>
      </c>
      <c r="N38" s="955"/>
      <c r="O38" s="246"/>
      <c r="P38" s="1"/>
      <c r="R38" s="19"/>
      <c r="S38" s="19"/>
      <c r="T38" s="19"/>
    </row>
    <row r="39" spans="1:20" s="3" customFormat="1" ht="15" x14ac:dyDescent="0.3">
      <c r="A39" s="144"/>
      <c r="B39" s="144"/>
      <c r="C39" s="136"/>
      <c r="D39" s="963"/>
      <c r="E39" s="963"/>
      <c r="F39" s="955" t="s">
        <v>124</v>
      </c>
      <c r="G39" s="955"/>
      <c r="H39" s="955"/>
      <c r="I39" s="955"/>
      <c r="J39" s="955"/>
      <c r="K39" s="980">
        <v>401</v>
      </c>
      <c r="L39" s="981"/>
      <c r="M39" s="980">
        <v>490</v>
      </c>
      <c r="N39" s="955"/>
      <c r="O39" s="246"/>
      <c r="P39" s="1"/>
      <c r="R39" s="19"/>
      <c r="S39" s="19"/>
      <c r="T39" s="19"/>
    </row>
    <row r="40" spans="1:20" s="3" customFormat="1" ht="15" x14ac:dyDescent="0.3">
      <c r="A40" s="144"/>
      <c r="B40" s="144"/>
      <c r="C40" s="136"/>
      <c r="D40" s="963"/>
      <c r="E40" s="963"/>
      <c r="F40" s="955" t="s">
        <v>518</v>
      </c>
      <c r="G40" s="955"/>
      <c r="H40" s="955"/>
      <c r="I40" s="955"/>
      <c r="J40" s="955"/>
      <c r="K40" s="980">
        <v>731</v>
      </c>
      <c r="L40" s="981"/>
      <c r="M40" s="980">
        <v>809</v>
      </c>
      <c r="N40" s="955"/>
      <c r="O40" s="246"/>
      <c r="P40" s="1"/>
      <c r="R40" s="19"/>
      <c r="S40" s="19"/>
      <c r="T40" s="19"/>
    </row>
    <row r="41" spans="1:20" s="3" customFormat="1" ht="15" x14ac:dyDescent="0.3">
      <c r="A41" s="144"/>
      <c r="B41" s="144"/>
      <c r="C41" s="136"/>
      <c r="D41" s="963"/>
      <c r="E41" s="963"/>
      <c r="F41" s="955" t="s">
        <v>519</v>
      </c>
      <c r="G41" s="955"/>
      <c r="H41" s="955"/>
      <c r="I41" s="955"/>
      <c r="J41" s="955"/>
      <c r="K41" s="980">
        <v>693</v>
      </c>
      <c r="L41" s="981"/>
      <c r="M41" s="980">
        <v>729</v>
      </c>
      <c r="N41" s="955"/>
      <c r="O41" s="246"/>
      <c r="P41" s="1"/>
      <c r="R41" s="19"/>
      <c r="S41" s="19"/>
      <c r="T41" s="19"/>
    </row>
    <row r="42" spans="1:20" s="3" customFormat="1" ht="15" x14ac:dyDescent="0.3">
      <c r="A42" s="144"/>
      <c r="B42" s="144"/>
      <c r="C42" s="136"/>
      <c r="D42" s="963"/>
      <c r="E42" s="963"/>
      <c r="F42" s="955" t="s">
        <v>521</v>
      </c>
      <c r="G42" s="955"/>
      <c r="H42" s="955"/>
      <c r="I42" s="955"/>
      <c r="J42" s="955"/>
      <c r="K42" s="982">
        <v>566</v>
      </c>
      <c r="L42" s="981"/>
      <c r="M42" s="980">
        <v>344</v>
      </c>
      <c r="N42" s="955"/>
      <c r="O42" s="246"/>
      <c r="P42" s="1"/>
      <c r="R42" s="19"/>
      <c r="S42" s="19"/>
      <c r="T42" s="19"/>
    </row>
    <row r="43" spans="1:20" s="3" customFormat="1" ht="15" x14ac:dyDescent="0.3">
      <c r="A43" s="144"/>
      <c r="B43" s="144"/>
      <c r="C43" s="136"/>
      <c r="D43" s="963"/>
      <c r="E43" s="963"/>
      <c r="F43" s="955" t="s">
        <v>522</v>
      </c>
      <c r="G43" s="955"/>
      <c r="H43" s="955"/>
      <c r="I43" s="955"/>
      <c r="J43" s="955"/>
      <c r="K43" s="982">
        <v>286</v>
      </c>
      <c r="L43" s="983"/>
      <c r="M43" s="982">
        <v>125</v>
      </c>
      <c r="N43" s="955"/>
      <c r="O43" s="246"/>
      <c r="P43" s="1"/>
      <c r="R43" s="19"/>
      <c r="S43" s="19"/>
      <c r="T43" s="19"/>
    </row>
    <row r="44" spans="1:20" s="3" customFormat="1" ht="15" x14ac:dyDescent="0.3">
      <c r="A44" s="144"/>
      <c r="B44" s="144"/>
      <c r="C44" s="136"/>
      <c r="D44" s="963"/>
      <c r="E44" s="963"/>
      <c r="F44" s="955" t="s">
        <v>515</v>
      </c>
      <c r="G44" s="955"/>
      <c r="H44" s="955"/>
      <c r="I44" s="955"/>
      <c r="J44" s="955"/>
      <c r="K44" s="982">
        <v>301</v>
      </c>
      <c r="L44" s="983"/>
      <c r="M44" s="982">
        <v>265</v>
      </c>
      <c r="N44" s="955"/>
      <c r="O44" s="246"/>
      <c r="P44" s="1"/>
      <c r="R44" s="19"/>
      <c r="S44" s="19"/>
      <c r="T44" s="19"/>
    </row>
    <row r="45" spans="1:20" s="3" customFormat="1" ht="15" x14ac:dyDescent="0.3">
      <c r="A45" s="144"/>
      <c r="B45" s="144"/>
      <c r="C45" s="136"/>
      <c r="D45" s="963"/>
      <c r="E45" s="963"/>
      <c r="F45" s="955" t="s">
        <v>524</v>
      </c>
      <c r="G45" s="955"/>
      <c r="H45" s="955"/>
      <c r="I45" s="955"/>
      <c r="J45" s="955"/>
      <c r="K45" s="982">
        <v>135</v>
      </c>
      <c r="L45" s="983"/>
      <c r="M45" s="982">
        <v>215</v>
      </c>
      <c r="N45" s="955"/>
      <c r="O45" s="246"/>
      <c r="P45" s="1"/>
      <c r="R45" s="19"/>
      <c r="S45" s="19"/>
      <c r="T45" s="19"/>
    </row>
    <row r="46" spans="1:20" s="3" customFormat="1" ht="15" x14ac:dyDescent="0.3">
      <c r="A46" s="144"/>
      <c r="B46" s="144"/>
      <c r="C46" s="136"/>
      <c r="D46" s="963"/>
      <c r="E46" s="963"/>
      <c r="F46" s="957" t="s">
        <v>213</v>
      </c>
      <c r="G46" s="955"/>
      <c r="H46" s="955"/>
      <c r="I46" s="955"/>
      <c r="J46" s="955"/>
      <c r="K46" s="984">
        <f>SUM(K37:K45)</f>
        <v>7828</v>
      </c>
      <c r="L46" s="985"/>
      <c r="M46" s="984">
        <f>SUM(M37:M45)</f>
        <v>7442</v>
      </c>
      <c r="N46" s="955"/>
      <c r="O46" s="246"/>
      <c r="P46" s="1"/>
      <c r="R46" s="19"/>
      <c r="S46" s="19"/>
      <c r="T46" s="19"/>
    </row>
    <row r="47" spans="1:20" s="246" customFormat="1" ht="15" x14ac:dyDescent="0.3">
      <c r="A47" s="237"/>
      <c r="B47" s="237"/>
      <c r="C47" s="136"/>
      <c r="D47" s="963"/>
      <c r="E47" s="963"/>
      <c r="F47" s="957"/>
      <c r="G47" s="955"/>
      <c r="H47" s="955"/>
      <c r="I47" s="955"/>
      <c r="J47" s="955"/>
      <c r="K47" s="985"/>
      <c r="L47" s="985"/>
      <c r="M47" s="985"/>
      <c r="N47" s="955"/>
      <c r="P47" s="1"/>
      <c r="R47" s="19"/>
      <c r="S47" s="19"/>
      <c r="T47" s="19"/>
    </row>
    <row r="48" spans="1:20" s="246" customFormat="1" ht="15" x14ac:dyDescent="0.3">
      <c r="A48" s="366">
        <v>15</v>
      </c>
      <c r="B48" s="366">
        <v>114</v>
      </c>
      <c r="C48" s="136"/>
      <c r="D48" s="1065"/>
      <c r="E48" s="1065"/>
      <c r="F48" s="1984" t="s">
        <v>1999</v>
      </c>
      <c r="G48" s="1136"/>
      <c r="H48" s="1136"/>
      <c r="I48" s="1136"/>
      <c r="J48" s="1136"/>
      <c r="K48" s="1985"/>
      <c r="L48" s="1985"/>
      <c r="M48" s="1985"/>
      <c r="N48" s="955"/>
      <c r="P48" s="1"/>
      <c r="R48" s="19"/>
      <c r="S48" s="19"/>
      <c r="T48" s="19"/>
    </row>
    <row r="49" spans="1:20" s="246" customFormat="1" ht="15" x14ac:dyDescent="0.3">
      <c r="A49" s="237"/>
      <c r="B49" s="237"/>
      <c r="C49" s="136"/>
      <c r="D49" s="1065"/>
      <c r="E49" s="1065"/>
      <c r="F49" s="1986" t="s">
        <v>2000</v>
      </c>
      <c r="G49" s="1136"/>
      <c r="H49" s="1136"/>
      <c r="I49" s="1136"/>
      <c r="J49" s="1136"/>
      <c r="K49" s="1987">
        <v>6000</v>
      </c>
      <c r="L49" s="1942"/>
      <c r="M49" s="1987">
        <v>5700</v>
      </c>
      <c r="N49" s="955"/>
      <c r="P49" s="1"/>
      <c r="R49" s="19"/>
      <c r="S49" s="19"/>
      <c r="T49" s="19"/>
    </row>
    <row r="50" spans="1:20" s="246" customFormat="1" ht="15" x14ac:dyDescent="0.3">
      <c r="A50" s="237"/>
      <c r="B50" s="237"/>
      <c r="C50" s="136"/>
      <c r="D50" s="1065"/>
      <c r="E50" s="1065"/>
      <c r="F50" s="1986" t="s">
        <v>2001</v>
      </c>
      <c r="G50" s="1136"/>
      <c r="H50" s="1136"/>
      <c r="I50" s="1136"/>
      <c r="J50" s="1136"/>
      <c r="K50" s="1987">
        <v>1828</v>
      </c>
      <c r="L50" s="1942"/>
      <c r="M50" s="1987">
        <v>1742</v>
      </c>
      <c r="N50" s="955"/>
      <c r="P50" s="1"/>
      <c r="R50" s="19"/>
      <c r="S50" s="19"/>
      <c r="T50" s="19"/>
    </row>
    <row r="51" spans="1:20" s="246" customFormat="1" ht="15" x14ac:dyDescent="0.3">
      <c r="A51" s="237"/>
      <c r="B51" s="237"/>
      <c r="C51" s="136"/>
      <c r="D51" s="1065"/>
      <c r="E51" s="1065"/>
      <c r="F51" s="1984" t="s">
        <v>213</v>
      </c>
      <c r="G51" s="1136"/>
      <c r="H51" s="1136"/>
      <c r="I51" s="1136"/>
      <c r="J51" s="1136"/>
      <c r="K51" s="1988">
        <f>SUM(K49:K50)</f>
        <v>7828</v>
      </c>
      <c r="L51" s="1985"/>
      <c r="M51" s="1988">
        <f>SUM(M49:M50)</f>
        <v>7442</v>
      </c>
      <c r="N51" s="955"/>
      <c r="P51" s="1"/>
      <c r="R51" s="19"/>
      <c r="S51" s="19"/>
      <c r="T51" s="19"/>
    </row>
    <row r="52" spans="1:20" s="246" customFormat="1" ht="15.6" thickBot="1" x14ac:dyDescent="0.35">
      <c r="A52" s="237"/>
      <c r="B52" s="237"/>
      <c r="C52" s="136"/>
      <c r="D52" s="963"/>
      <c r="E52" s="963"/>
      <c r="F52" s="957"/>
      <c r="G52" s="955"/>
      <c r="H52" s="955"/>
      <c r="I52" s="955"/>
      <c r="J52" s="955"/>
      <c r="K52" s="985"/>
      <c r="L52" s="985"/>
      <c r="M52" s="985"/>
      <c r="N52" s="955"/>
      <c r="P52" s="1"/>
      <c r="R52" s="19"/>
      <c r="S52" s="19"/>
      <c r="T52" s="19"/>
    </row>
    <row r="53" spans="1:20" s="246" customFormat="1" ht="15" x14ac:dyDescent="0.3">
      <c r="A53" s="237"/>
      <c r="B53" s="237"/>
      <c r="C53" s="136"/>
      <c r="D53" s="963"/>
      <c r="E53" s="963"/>
      <c r="F53" s="974" t="s">
        <v>1133</v>
      </c>
      <c r="G53" s="975"/>
      <c r="H53" s="975"/>
      <c r="I53" s="975"/>
      <c r="J53" s="975"/>
      <c r="K53" s="975"/>
      <c r="L53" s="975"/>
      <c r="M53" s="976"/>
      <c r="N53" s="955"/>
      <c r="P53" s="301"/>
      <c r="R53" s="19"/>
      <c r="S53" s="19"/>
      <c r="T53" s="19"/>
    </row>
    <row r="54" spans="1:20" s="246" customFormat="1" ht="33" customHeight="1" x14ac:dyDescent="0.3">
      <c r="A54" s="237"/>
      <c r="B54" s="237"/>
      <c r="C54" s="136"/>
      <c r="D54" s="1065"/>
      <c r="E54" s="1065"/>
      <c r="F54" s="2132" t="s">
        <v>2002</v>
      </c>
      <c r="G54" s="2133"/>
      <c r="H54" s="2133"/>
      <c r="I54" s="2133"/>
      <c r="J54" s="2133"/>
      <c r="K54" s="2133"/>
      <c r="L54" s="2133"/>
      <c r="M54" s="2134"/>
      <c r="N54" s="955"/>
      <c r="P54" s="1"/>
      <c r="R54" s="19"/>
      <c r="S54" s="19"/>
      <c r="T54" s="19"/>
    </row>
    <row r="55" spans="1:20" s="246" customFormat="1" ht="33" customHeight="1" x14ac:dyDescent="0.3">
      <c r="A55" s="237"/>
      <c r="B55" s="237"/>
      <c r="C55" s="136"/>
      <c r="D55" s="963"/>
      <c r="E55" s="963"/>
      <c r="F55" s="2151" t="s">
        <v>1575</v>
      </c>
      <c r="G55" s="2152"/>
      <c r="H55" s="2152"/>
      <c r="I55" s="2152"/>
      <c r="J55" s="2152"/>
      <c r="K55" s="2152"/>
      <c r="L55" s="2152"/>
      <c r="M55" s="2153"/>
      <c r="N55" s="955"/>
      <c r="P55" s="1"/>
      <c r="R55" s="19"/>
      <c r="S55" s="19"/>
      <c r="T55" s="19"/>
    </row>
    <row r="56" spans="1:20" s="246" customFormat="1" ht="33" customHeight="1" thickBot="1" x14ac:dyDescent="0.35">
      <c r="A56" s="237"/>
      <c r="B56" s="237"/>
      <c r="C56" s="136"/>
      <c r="D56" s="963"/>
      <c r="E56" s="963"/>
      <c r="F56" s="2135" t="s">
        <v>1576</v>
      </c>
      <c r="G56" s="2136"/>
      <c r="H56" s="2136"/>
      <c r="I56" s="2136"/>
      <c r="J56" s="2136"/>
      <c r="K56" s="2136"/>
      <c r="L56" s="2136"/>
      <c r="M56" s="2137"/>
      <c r="N56" s="955"/>
      <c r="P56" s="1"/>
      <c r="R56" s="19"/>
      <c r="S56" s="19"/>
      <c r="T56" s="19"/>
    </row>
    <row r="57" spans="1:20" s="246" customFormat="1" ht="15" x14ac:dyDescent="0.3">
      <c r="A57" s="237"/>
      <c r="B57" s="237"/>
      <c r="C57" s="136"/>
      <c r="D57" s="963"/>
      <c r="E57" s="963"/>
      <c r="F57" s="955"/>
      <c r="G57" s="963"/>
      <c r="H57" s="955"/>
      <c r="I57" s="955"/>
      <c r="J57" s="955"/>
      <c r="K57" s="977"/>
      <c r="L57" s="968"/>
      <c r="M57" s="977"/>
      <c r="N57" s="955"/>
      <c r="P57" s="1"/>
      <c r="R57" s="19"/>
      <c r="S57" s="19"/>
      <c r="T57" s="19"/>
    </row>
    <row r="58" spans="1:20" s="246" customFormat="1" ht="7.5" customHeight="1" x14ac:dyDescent="0.3">
      <c r="A58" s="237"/>
      <c r="B58" s="237"/>
      <c r="C58" s="136"/>
      <c r="D58" s="963"/>
      <c r="E58" s="963"/>
      <c r="F58" s="955"/>
      <c r="G58" s="963"/>
      <c r="H58" s="955"/>
      <c r="I58" s="955"/>
      <c r="J58" s="955"/>
      <c r="K58" s="977"/>
      <c r="L58" s="968"/>
      <c r="M58" s="977"/>
      <c r="N58" s="955"/>
      <c r="P58" s="1"/>
      <c r="R58" s="19"/>
      <c r="S58" s="19"/>
      <c r="T58" s="19"/>
    </row>
    <row r="59" spans="1:20" s="3" customFormat="1" ht="15" x14ac:dyDescent="0.3">
      <c r="A59" s="144"/>
      <c r="B59" s="144"/>
      <c r="C59" s="136"/>
      <c r="D59" s="961" t="s">
        <v>286</v>
      </c>
      <c r="E59" s="961">
        <f>E36+0.1</f>
        <v>2.4000000000000004</v>
      </c>
      <c r="F59" s="956" t="s">
        <v>616</v>
      </c>
      <c r="G59" s="955"/>
      <c r="H59" s="955"/>
      <c r="I59" s="955"/>
      <c r="J59" s="955"/>
      <c r="K59" s="977"/>
      <c r="L59" s="977"/>
      <c r="M59" s="977"/>
      <c r="N59" s="955"/>
      <c r="O59" s="246"/>
      <c r="P59" s="1"/>
      <c r="R59" s="19"/>
      <c r="S59" s="19"/>
      <c r="T59" s="19"/>
    </row>
    <row r="60" spans="1:20" s="3" customFormat="1" ht="15" x14ac:dyDescent="0.3">
      <c r="A60" s="144"/>
      <c r="B60" s="144"/>
      <c r="C60" s="136"/>
      <c r="D60" s="963"/>
      <c r="E60" s="963"/>
      <c r="F60" s="986" t="s">
        <v>990</v>
      </c>
      <c r="G60" s="955"/>
      <c r="H60" s="955"/>
      <c r="I60" s="955"/>
      <c r="J60" s="955"/>
      <c r="K60" s="987"/>
      <c r="L60" s="988"/>
      <c r="M60" s="977"/>
      <c r="N60" s="955"/>
      <c r="O60" s="246"/>
      <c r="P60" s="1"/>
      <c r="R60" s="19"/>
      <c r="S60" s="19"/>
      <c r="T60" s="19"/>
    </row>
    <row r="61" spans="1:20" s="3" customFormat="1" ht="15" x14ac:dyDescent="0.3">
      <c r="A61" s="144"/>
      <c r="B61" s="144"/>
      <c r="C61" s="136"/>
      <c r="D61" s="956"/>
      <c r="E61" s="956"/>
      <c r="F61" s="989" t="s">
        <v>267</v>
      </c>
      <c r="G61" s="955"/>
      <c r="H61" s="955"/>
      <c r="I61" s="955"/>
      <c r="J61" s="955"/>
      <c r="K61" s="977"/>
      <c r="L61" s="977"/>
      <c r="M61" s="977"/>
      <c r="N61" s="955"/>
      <c r="O61" s="246"/>
      <c r="P61" s="1"/>
      <c r="R61" s="19"/>
      <c r="S61" s="19"/>
      <c r="T61" s="19"/>
    </row>
    <row r="62" spans="1:20" s="3" customFormat="1" ht="15" x14ac:dyDescent="0.3">
      <c r="A62" s="144"/>
      <c r="B62" s="144"/>
      <c r="C62" s="136"/>
      <c r="D62" s="956"/>
      <c r="E62" s="956"/>
      <c r="F62" s="990" t="s">
        <v>268</v>
      </c>
      <c r="G62" s="955"/>
      <c r="H62" s="955"/>
      <c r="I62" s="955"/>
      <c r="J62" s="955"/>
      <c r="K62" s="977">
        <f>16630-1400</f>
        <v>15230</v>
      </c>
      <c r="L62" s="977"/>
      <c r="M62" s="977">
        <v>10982</v>
      </c>
      <c r="N62" s="955"/>
      <c r="O62" s="55"/>
      <c r="P62" s="592" t="s">
        <v>1375</v>
      </c>
      <c r="R62" s="19"/>
      <c r="S62" s="19"/>
      <c r="T62" s="19"/>
    </row>
    <row r="63" spans="1:20" s="3" customFormat="1" ht="15" x14ac:dyDescent="0.3">
      <c r="A63" s="144"/>
      <c r="B63" s="144"/>
      <c r="C63" s="136"/>
      <c r="D63" s="956"/>
      <c r="E63" s="956"/>
      <c r="F63" s="986" t="s">
        <v>269</v>
      </c>
      <c r="G63" s="955"/>
      <c r="H63" s="955"/>
      <c r="I63" s="955"/>
      <c r="J63" s="955"/>
      <c r="K63" s="977">
        <v>4195</v>
      </c>
      <c r="L63" s="977"/>
      <c r="M63" s="977">
        <v>5193</v>
      </c>
      <c r="N63" s="955"/>
      <c r="O63" s="55"/>
      <c r="P63" s="1" t="s">
        <v>1653</v>
      </c>
      <c r="R63" s="19"/>
      <c r="S63" s="19"/>
      <c r="T63" s="19"/>
    </row>
    <row r="64" spans="1:20" s="3" customFormat="1" ht="15" x14ac:dyDescent="0.3">
      <c r="A64" s="141"/>
      <c r="B64" s="141"/>
      <c r="C64" s="136"/>
      <c r="D64" s="956"/>
      <c r="E64" s="956"/>
      <c r="F64" s="990" t="s">
        <v>270</v>
      </c>
      <c r="G64" s="955"/>
      <c r="H64" s="955"/>
      <c r="I64" s="955"/>
      <c r="J64" s="955"/>
      <c r="K64" s="977">
        <v>175</v>
      </c>
      <c r="L64" s="977"/>
      <c r="M64" s="977">
        <v>325</v>
      </c>
      <c r="N64" s="955"/>
      <c r="O64" s="246"/>
      <c r="P64" s="1"/>
      <c r="R64" s="19"/>
      <c r="S64" s="19"/>
      <c r="T64" s="19"/>
    </row>
    <row r="65" spans="1:23" s="3" customFormat="1" ht="15" x14ac:dyDescent="0.3">
      <c r="A65" s="138"/>
      <c r="B65" s="138"/>
      <c r="C65" s="136"/>
      <c r="D65" s="963"/>
      <c r="E65" s="963"/>
      <c r="F65" s="986" t="s">
        <v>103</v>
      </c>
      <c r="G65" s="955"/>
      <c r="H65" s="955"/>
      <c r="I65" s="955"/>
      <c r="J65" s="955"/>
      <c r="K65" s="991">
        <f>SUM(K62:K64)</f>
        <v>19600</v>
      </c>
      <c r="L65" s="992"/>
      <c r="M65" s="991">
        <f>SUM(M62:M64)</f>
        <v>16500</v>
      </c>
      <c r="N65" s="955"/>
      <c r="O65" s="1"/>
      <c r="P65" s="1"/>
      <c r="Q65" s="258"/>
      <c r="R65" s="19"/>
      <c r="S65" s="19"/>
      <c r="T65" s="19"/>
    </row>
    <row r="66" spans="1:23" s="3" customFormat="1" ht="7.5" customHeight="1" x14ac:dyDescent="0.3">
      <c r="A66" s="144"/>
      <c r="B66" s="144"/>
      <c r="C66" s="136"/>
      <c r="D66" s="963"/>
      <c r="E66" s="963"/>
      <c r="F66" s="955"/>
      <c r="G66" s="963"/>
      <c r="H66" s="993"/>
      <c r="I66" s="955"/>
      <c r="J66" s="955"/>
      <c r="K66" s="988"/>
      <c r="L66" s="988"/>
      <c r="M66" s="988"/>
      <c r="N66" s="994"/>
      <c r="O66" s="263"/>
      <c r="P66" s="1"/>
      <c r="Q66" s="259"/>
      <c r="R66" s="19"/>
      <c r="S66" s="19"/>
      <c r="T66" s="19"/>
    </row>
    <row r="67" spans="1:23" s="3" customFormat="1" ht="15" x14ac:dyDescent="0.3">
      <c r="A67" s="144"/>
      <c r="B67" s="144"/>
      <c r="C67" s="136"/>
      <c r="D67" s="963"/>
      <c r="E67" s="963"/>
      <c r="F67" s="989" t="s">
        <v>803</v>
      </c>
      <c r="G67" s="963"/>
      <c r="H67" s="955"/>
      <c r="I67" s="955"/>
      <c r="J67" s="955"/>
      <c r="K67" s="988"/>
      <c r="L67" s="988"/>
      <c r="M67" s="988"/>
      <c r="N67" s="995"/>
      <c r="O67" s="55"/>
      <c r="P67" s="346"/>
      <c r="Q67" s="258"/>
      <c r="R67" s="19"/>
      <c r="S67" s="19"/>
      <c r="T67" s="19"/>
    </row>
    <row r="68" spans="1:23" s="3" customFormat="1" ht="15.6" x14ac:dyDescent="0.3">
      <c r="A68" s="144"/>
      <c r="B68" s="144"/>
      <c r="C68" s="136"/>
      <c r="D68" s="963"/>
      <c r="E68" s="963"/>
      <c r="F68" s="955"/>
      <c r="G68" s="986" t="s">
        <v>1623</v>
      </c>
      <c r="H68" s="955"/>
      <c r="I68" s="996"/>
      <c r="J68" s="996"/>
      <c r="K68" s="997">
        <v>5000</v>
      </c>
      <c r="L68" s="981"/>
      <c r="M68" s="998">
        <v>4000</v>
      </c>
      <c r="N68" s="995"/>
      <c r="O68" s="55"/>
      <c r="P68" s="301" t="s">
        <v>1624</v>
      </c>
      <c r="Q68" s="259"/>
      <c r="R68" s="19"/>
      <c r="S68" s="19"/>
      <c r="T68" s="19"/>
    </row>
    <row r="69" spans="1:23" s="3" customFormat="1" ht="15" x14ac:dyDescent="0.3">
      <c r="A69" s="144"/>
      <c r="B69" s="144"/>
      <c r="C69" s="136"/>
      <c r="D69" s="963"/>
      <c r="E69" s="963"/>
      <c r="F69" s="955"/>
      <c r="G69" s="986" t="s">
        <v>1643</v>
      </c>
      <c r="H69" s="955"/>
      <c r="I69" s="999"/>
      <c r="J69" s="999"/>
      <c r="K69" s="997">
        <v>5000</v>
      </c>
      <c r="L69" s="998"/>
      <c r="M69" s="998">
        <v>4000</v>
      </c>
      <c r="N69" s="995"/>
      <c r="O69" s="55"/>
      <c r="P69" s="301" t="s">
        <v>1624</v>
      </c>
      <c r="Q69" s="258"/>
      <c r="R69" s="19"/>
      <c r="S69" s="19"/>
      <c r="T69" s="19"/>
    </row>
    <row r="70" spans="1:23" s="3" customFormat="1" ht="15.6" x14ac:dyDescent="0.3">
      <c r="A70" s="144"/>
      <c r="B70" s="144"/>
      <c r="C70" s="136"/>
      <c r="D70" s="963"/>
      <c r="E70" s="963"/>
      <c r="F70" s="955"/>
      <c r="G70" s="986" t="s">
        <v>692</v>
      </c>
      <c r="H70" s="955"/>
      <c r="I70" s="955"/>
      <c r="J70" s="955"/>
      <c r="K70" s="955">
        <v>130</v>
      </c>
      <c r="L70" s="955"/>
      <c r="M70" s="955">
        <v>482</v>
      </c>
      <c r="N70" s="995"/>
      <c r="O70" s="55"/>
      <c r="P70" s="1"/>
      <c r="Q70" s="259"/>
      <c r="R70" s="19"/>
      <c r="S70" s="19"/>
      <c r="T70" s="19"/>
    </row>
    <row r="71" spans="1:23" s="246" customFormat="1" ht="15.6" x14ac:dyDescent="0.3">
      <c r="A71" s="237"/>
      <c r="B71" s="237"/>
      <c r="C71" s="950"/>
      <c r="D71" s="1000"/>
      <c r="E71" s="1000"/>
      <c r="F71" s="1001"/>
      <c r="G71" s="1002" t="s">
        <v>184</v>
      </c>
      <c r="H71" s="1001"/>
      <c r="I71" s="955"/>
      <c r="J71" s="955"/>
      <c r="K71" s="1003">
        <v>0</v>
      </c>
      <c r="L71" s="955"/>
      <c r="M71" s="1003">
        <v>0</v>
      </c>
      <c r="N71" s="995"/>
      <c r="O71" s="55"/>
      <c r="P71" s="600" t="s">
        <v>1728</v>
      </c>
      <c r="Q71" s="259"/>
      <c r="R71" s="19"/>
      <c r="S71" s="19"/>
      <c r="T71" s="19"/>
    </row>
    <row r="72" spans="1:23" s="3" customFormat="1" ht="15" x14ac:dyDescent="0.3">
      <c r="A72" s="144"/>
      <c r="B72" s="144"/>
      <c r="C72" s="136"/>
      <c r="D72" s="963"/>
      <c r="E72" s="963"/>
      <c r="F72" s="955"/>
      <c r="G72" s="990" t="s">
        <v>691</v>
      </c>
      <c r="H72" s="955"/>
      <c r="I72" s="955"/>
      <c r="J72" s="955"/>
      <c r="K72" s="997">
        <v>527</v>
      </c>
      <c r="L72" s="998"/>
      <c r="M72" s="998">
        <v>1347</v>
      </c>
      <c r="N72" s="995"/>
      <c r="O72" s="55"/>
      <c r="P72" s="1"/>
      <c r="Q72" s="258"/>
      <c r="R72" s="19"/>
      <c r="S72" s="19"/>
      <c r="T72" s="19"/>
    </row>
    <row r="73" spans="1:23" s="3" customFormat="1" ht="15.6" x14ac:dyDescent="0.3">
      <c r="A73" s="144"/>
      <c r="B73" s="144"/>
      <c r="C73" s="136"/>
      <c r="D73" s="963"/>
      <c r="E73" s="963"/>
      <c r="F73" s="955"/>
      <c r="G73" s="990" t="s">
        <v>186</v>
      </c>
      <c r="H73" s="955"/>
      <c r="I73" s="999"/>
      <c r="J73" s="999"/>
      <c r="K73" s="997">
        <v>173</v>
      </c>
      <c r="L73" s="998"/>
      <c r="M73" s="998">
        <v>302</v>
      </c>
      <c r="N73" s="995"/>
      <c r="O73" s="55"/>
      <c r="P73" s="1"/>
      <c r="Q73" s="260"/>
      <c r="R73" s="19"/>
      <c r="S73" s="19"/>
      <c r="T73" s="19"/>
    </row>
    <row r="74" spans="1:23" s="3" customFormat="1" ht="15" x14ac:dyDescent="0.3">
      <c r="A74" s="144"/>
      <c r="B74" s="144"/>
      <c r="C74" s="136"/>
      <c r="D74" s="963"/>
      <c r="E74" s="963"/>
      <c r="F74" s="955"/>
      <c r="G74" s="990" t="s">
        <v>187</v>
      </c>
      <c r="H74" s="955"/>
      <c r="I74" s="999"/>
      <c r="J74" s="999"/>
      <c r="K74" s="997">
        <v>165</v>
      </c>
      <c r="L74" s="998"/>
      <c r="M74" s="998">
        <v>253</v>
      </c>
      <c r="N74" s="995"/>
      <c r="O74" s="55"/>
      <c r="P74" s="1"/>
      <c r="Q74" s="261"/>
      <c r="R74" s="19"/>
      <c r="S74" s="19"/>
      <c r="T74" s="19"/>
      <c r="U74" s="246"/>
      <c r="V74" s="246"/>
      <c r="W74" s="246"/>
    </row>
    <row r="75" spans="1:23" s="3" customFormat="1" ht="15" x14ac:dyDescent="0.3">
      <c r="A75" s="144"/>
      <c r="B75" s="144"/>
      <c r="C75" s="136"/>
      <c r="D75" s="963"/>
      <c r="E75" s="963"/>
      <c r="F75" s="955"/>
      <c r="G75" s="986" t="s">
        <v>188</v>
      </c>
      <c r="H75" s="955"/>
      <c r="I75" s="999"/>
      <c r="J75" s="999"/>
      <c r="K75" s="997">
        <v>106</v>
      </c>
      <c r="L75" s="998"/>
      <c r="M75" s="998">
        <v>712</v>
      </c>
      <c r="N75" s="995"/>
      <c r="O75" s="55"/>
      <c r="P75" s="1"/>
      <c r="Q75" s="261"/>
      <c r="R75" s="148"/>
      <c r="S75" s="19"/>
      <c r="T75" s="19"/>
      <c r="U75" s="246"/>
      <c r="V75" s="246"/>
      <c r="W75" s="246"/>
    </row>
    <row r="76" spans="1:23" s="3" customFormat="1" ht="15" x14ac:dyDescent="0.3">
      <c r="A76" s="144"/>
      <c r="B76" s="144"/>
      <c r="C76" s="136"/>
      <c r="D76" s="963"/>
      <c r="E76" s="963"/>
      <c r="F76" s="955"/>
      <c r="G76" s="990" t="s">
        <v>189</v>
      </c>
      <c r="H76" s="955" t="s">
        <v>1374</v>
      </c>
      <c r="I76" s="999"/>
      <c r="J76" s="999"/>
      <c r="K76" s="997">
        <v>386</v>
      </c>
      <c r="L76" s="998"/>
      <c r="M76" s="998">
        <v>801</v>
      </c>
      <c r="N76" s="995"/>
      <c r="O76" s="55"/>
      <c r="P76" s="1"/>
      <c r="Q76" s="262"/>
      <c r="R76" s="19"/>
      <c r="S76" s="19"/>
      <c r="T76" s="19"/>
      <c r="U76" s="246"/>
      <c r="V76" s="246"/>
      <c r="W76" s="246"/>
    </row>
    <row r="77" spans="1:23" s="3" customFormat="1" ht="15" x14ac:dyDescent="0.3">
      <c r="A77" s="144"/>
      <c r="B77" s="144"/>
      <c r="C77" s="136"/>
      <c r="D77" s="963"/>
      <c r="E77" s="963"/>
      <c r="F77" s="955"/>
      <c r="G77" s="990" t="s">
        <v>190</v>
      </c>
      <c r="H77" s="955"/>
      <c r="I77" s="999"/>
      <c r="J77" s="999"/>
      <c r="K77" s="997">
        <v>110</v>
      </c>
      <c r="L77" s="998"/>
      <c r="M77" s="998">
        <v>586</v>
      </c>
      <c r="N77" s="995"/>
      <c r="O77" s="55"/>
      <c r="P77" s="1"/>
      <c r="Q77" s="262"/>
      <c r="R77" s="19"/>
      <c r="S77" s="19"/>
      <c r="T77" s="19"/>
      <c r="U77" s="246"/>
      <c r="V77" s="246"/>
      <c r="W77" s="246"/>
    </row>
    <row r="78" spans="1:23" s="3" customFormat="1" ht="15" x14ac:dyDescent="0.3">
      <c r="A78" s="144"/>
      <c r="B78" s="144"/>
      <c r="C78" s="136"/>
      <c r="D78" s="963"/>
      <c r="E78" s="963"/>
      <c r="F78" s="955"/>
      <c r="G78" s="986" t="s">
        <v>191</v>
      </c>
      <c r="H78" s="955"/>
      <c r="I78" s="999"/>
      <c r="J78" s="999"/>
      <c r="K78" s="997">
        <v>153</v>
      </c>
      <c r="L78" s="998"/>
      <c r="M78" s="998">
        <v>253</v>
      </c>
      <c r="N78" s="995"/>
      <c r="O78" s="55"/>
      <c r="P78" s="1"/>
      <c r="Q78" s="262"/>
      <c r="R78" s="19"/>
      <c r="S78" s="19"/>
      <c r="T78" s="19"/>
      <c r="U78" s="246"/>
      <c r="V78" s="246"/>
      <c r="W78" s="246"/>
    </row>
    <row r="79" spans="1:23" s="3" customFormat="1" ht="15" x14ac:dyDescent="0.3">
      <c r="A79" s="144"/>
      <c r="B79" s="144"/>
      <c r="C79" s="136"/>
      <c r="D79" s="963"/>
      <c r="E79" s="963"/>
      <c r="F79" s="955"/>
      <c r="G79" s="986" t="s">
        <v>102</v>
      </c>
      <c r="H79" s="955"/>
      <c r="I79" s="999"/>
      <c r="J79" s="999"/>
      <c r="K79" s="997">
        <v>250</v>
      </c>
      <c r="L79" s="998"/>
      <c r="M79" s="998">
        <v>264</v>
      </c>
      <c r="N79" s="995"/>
      <c r="O79" s="55"/>
      <c r="P79" s="1"/>
      <c r="Q79" s="261"/>
      <c r="R79" s="19"/>
      <c r="S79" s="19"/>
      <c r="T79" s="19"/>
      <c r="U79" s="246"/>
      <c r="V79" s="246"/>
      <c r="W79" s="246"/>
    </row>
    <row r="80" spans="1:23" s="3" customFormat="1" ht="14.4" customHeight="1" x14ac:dyDescent="0.3">
      <c r="A80" s="144"/>
      <c r="B80" s="144"/>
      <c r="C80" s="136"/>
      <c r="D80" s="963"/>
      <c r="E80" s="963"/>
      <c r="F80" s="960" t="s">
        <v>802</v>
      </c>
      <c r="G80" s="955"/>
      <c r="H80" s="955"/>
      <c r="I80" s="1004"/>
      <c r="J80" s="1004"/>
      <c r="K80" s="991">
        <f>SUM(K68:K79)</f>
        <v>12000</v>
      </c>
      <c r="L80" s="1005"/>
      <c r="M80" s="991">
        <f>SUM(M68:M79)</f>
        <v>13000</v>
      </c>
      <c r="N80" s="995"/>
      <c r="O80" s="55"/>
      <c r="Q80" s="261"/>
      <c r="R80" s="19"/>
      <c r="S80" s="19"/>
      <c r="T80" s="19"/>
      <c r="U80" s="246"/>
      <c r="V80" s="246"/>
      <c r="W80" s="246"/>
    </row>
    <row r="81" spans="1:23" s="3" customFormat="1" ht="7.5" customHeight="1" x14ac:dyDescent="0.3">
      <c r="A81" s="144"/>
      <c r="B81" s="144"/>
      <c r="C81" s="136"/>
      <c r="D81" s="963"/>
      <c r="E81" s="963"/>
      <c r="F81" s="955"/>
      <c r="G81" s="963"/>
      <c r="H81" s="1006"/>
      <c r="I81" s="1004"/>
      <c r="J81" s="1004"/>
      <c r="K81" s="1005"/>
      <c r="L81" s="1005"/>
      <c r="M81" s="1005"/>
      <c r="N81" s="1007"/>
      <c r="O81" s="55"/>
      <c r="P81" s="1"/>
      <c r="Q81"/>
      <c r="R81" s="19"/>
      <c r="S81" s="19"/>
      <c r="T81" s="19"/>
    </row>
    <row r="82" spans="1:23" s="246" customFormat="1" ht="17.25" customHeight="1" x14ac:dyDescent="0.3">
      <c r="A82" s="237"/>
      <c r="B82" s="237"/>
      <c r="C82" s="136"/>
      <c r="D82" s="963"/>
      <c r="E82" s="963"/>
      <c r="F82" s="989" t="s">
        <v>314</v>
      </c>
      <c r="G82" s="963"/>
      <c r="H82" s="955"/>
      <c r="I82" s="1004"/>
      <c r="J82" s="1004"/>
      <c r="K82" s="1005"/>
      <c r="L82" s="1005"/>
      <c r="M82" s="1005"/>
      <c r="N82" s="995"/>
      <c r="O82" s="55"/>
      <c r="P82" s="655"/>
      <c r="Q82" s="449"/>
      <c r="R82" s="449"/>
      <c r="S82" s="449"/>
      <c r="T82" s="449"/>
      <c r="U82" s="449"/>
      <c r="V82" s="698"/>
      <c r="W82" s="698"/>
    </row>
    <row r="83" spans="1:23" s="246" customFormat="1" ht="17.25" customHeight="1" x14ac:dyDescent="0.3">
      <c r="A83" s="237"/>
      <c r="B83" s="237"/>
      <c r="C83" s="950"/>
      <c r="D83" s="1000"/>
      <c r="E83" s="1000"/>
      <c r="F83" s="1002" t="s">
        <v>184</v>
      </c>
      <c r="G83" s="1000"/>
      <c r="H83" s="1001"/>
      <c r="I83" s="1004"/>
      <c r="J83" s="1004"/>
      <c r="K83" s="1003">
        <f>6500-1400</f>
        <v>5100</v>
      </c>
      <c r="L83" s="1003"/>
      <c r="M83" s="1003">
        <v>500</v>
      </c>
      <c r="N83" s="995"/>
      <c r="P83" s="600" t="s">
        <v>1728</v>
      </c>
      <c r="Q83" s="449"/>
      <c r="R83" s="449"/>
      <c r="S83" s="449"/>
      <c r="T83" s="449"/>
      <c r="U83" s="449"/>
      <c r="V83" s="698"/>
      <c r="W83" s="698"/>
    </row>
    <row r="84" spans="1:23" s="246" customFormat="1" ht="17.25" customHeight="1" x14ac:dyDescent="0.3">
      <c r="A84" s="237"/>
      <c r="B84" s="237"/>
      <c r="C84" s="136"/>
      <c r="D84" s="963"/>
      <c r="E84" s="963"/>
      <c r="F84" s="986" t="s">
        <v>192</v>
      </c>
      <c r="G84" s="963"/>
      <c r="H84" s="955"/>
      <c r="I84" s="1004"/>
      <c r="J84" s="1004"/>
      <c r="K84" s="1003">
        <v>0</v>
      </c>
      <c r="L84" s="1003"/>
      <c r="M84" s="1003">
        <v>2000</v>
      </c>
      <c r="N84" s="995"/>
      <c r="Q84" s="449"/>
      <c r="R84" s="449"/>
      <c r="S84" s="449"/>
      <c r="T84" s="449"/>
      <c r="U84" s="449"/>
      <c r="V84" s="698"/>
      <c r="W84" s="698"/>
    </row>
    <row r="85" spans="1:23" s="246" customFormat="1" ht="17.25" customHeight="1" x14ac:dyDescent="0.3">
      <c r="A85" s="237"/>
      <c r="B85" s="237"/>
      <c r="C85" s="136"/>
      <c r="D85" s="963"/>
      <c r="E85" s="963"/>
      <c r="F85" s="990" t="s">
        <v>185</v>
      </c>
      <c r="G85" s="963"/>
      <c r="H85" s="955"/>
      <c r="I85" s="1004"/>
      <c r="J85" s="1004"/>
      <c r="K85" s="1003">
        <v>750</v>
      </c>
      <c r="L85" s="1003"/>
      <c r="M85" s="1003">
        <v>500</v>
      </c>
      <c r="N85" s="995"/>
      <c r="O85" s="55"/>
      <c r="P85" s="1"/>
      <c r="Q85" s="449"/>
      <c r="R85" s="449"/>
      <c r="S85" s="449"/>
      <c r="T85" s="449"/>
      <c r="U85" s="449"/>
      <c r="V85" s="698"/>
      <c r="W85" s="698"/>
    </row>
    <row r="86" spans="1:23" s="246" customFormat="1" ht="17.25" customHeight="1" x14ac:dyDescent="0.3">
      <c r="A86" s="237"/>
      <c r="B86" s="237"/>
      <c r="C86" s="136"/>
      <c r="D86" s="963"/>
      <c r="E86" s="963"/>
      <c r="F86" s="986" t="s">
        <v>186</v>
      </c>
      <c r="G86" s="963"/>
      <c r="H86" s="955"/>
      <c r="I86" s="1004"/>
      <c r="J86" s="1004"/>
      <c r="K86" s="1003">
        <v>750</v>
      </c>
      <c r="L86" s="1003"/>
      <c r="M86" s="1003">
        <v>500</v>
      </c>
      <c r="N86" s="995"/>
      <c r="O86" s="55"/>
      <c r="P86" s="1"/>
      <c r="Q86" s="449"/>
      <c r="R86" s="449"/>
      <c r="S86" s="449"/>
      <c r="T86" s="449"/>
      <c r="U86" s="449"/>
      <c r="V86" s="698"/>
      <c r="W86" s="698"/>
    </row>
    <row r="87" spans="1:23" s="246" customFormat="1" ht="17.25" customHeight="1" x14ac:dyDescent="0.3">
      <c r="A87" s="237"/>
      <c r="B87" s="237"/>
      <c r="C87" s="136"/>
      <c r="D87" s="963"/>
      <c r="E87" s="963"/>
      <c r="F87" s="990" t="s">
        <v>189</v>
      </c>
      <c r="G87" s="963"/>
      <c r="H87" s="955"/>
      <c r="I87" s="1004"/>
      <c r="J87" s="1004"/>
      <c r="K87" s="1003">
        <v>500</v>
      </c>
      <c r="L87" s="1003"/>
      <c r="M87" s="1003">
        <v>0</v>
      </c>
      <c r="N87" s="995"/>
      <c r="O87" s="55"/>
      <c r="P87" s="1"/>
      <c r="Q87" s="449"/>
      <c r="R87" s="449"/>
      <c r="S87" s="449"/>
      <c r="T87" s="449"/>
      <c r="U87" s="449"/>
      <c r="V87" s="698"/>
      <c r="W87" s="698"/>
    </row>
    <row r="88" spans="1:23" s="246" customFormat="1" ht="17.25" customHeight="1" x14ac:dyDescent="0.3">
      <c r="A88" s="237"/>
      <c r="B88" s="237"/>
      <c r="C88" s="136"/>
      <c r="D88" s="963"/>
      <c r="E88" s="963"/>
      <c r="F88" s="986" t="s">
        <v>379</v>
      </c>
      <c r="G88" s="963"/>
      <c r="H88" s="955"/>
      <c r="I88" s="955"/>
      <c r="J88" s="955"/>
      <c r="K88" s="1003">
        <v>250</v>
      </c>
      <c r="L88" s="1003"/>
      <c r="M88" s="1003">
        <v>0</v>
      </c>
      <c r="N88" s="995"/>
      <c r="O88" s="55"/>
      <c r="P88" s="1"/>
      <c r="Q88" s="449"/>
      <c r="R88" s="449"/>
      <c r="S88" s="449"/>
      <c r="T88" s="449"/>
      <c r="U88" s="449"/>
      <c r="V88" s="698"/>
      <c r="W88" s="698"/>
    </row>
    <row r="89" spans="1:23" s="246" customFormat="1" ht="17.25" customHeight="1" x14ac:dyDescent="0.3">
      <c r="A89" s="237"/>
      <c r="B89" s="237"/>
      <c r="C89" s="136"/>
      <c r="D89" s="963"/>
      <c r="E89" s="963"/>
      <c r="F89" s="990" t="s">
        <v>102</v>
      </c>
      <c r="G89" s="963"/>
      <c r="H89" s="955"/>
      <c r="I89" s="955"/>
      <c r="J89" s="955"/>
      <c r="K89" s="1003">
        <v>250</v>
      </c>
      <c r="L89" s="1003"/>
      <c r="M89" s="1003">
        <v>0</v>
      </c>
      <c r="N89" s="995"/>
      <c r="O89" s="55"/>
      <c r="P89" s="1"/>
      <c r="Q89" s="449"/>
      <c r="R89" s="449"/>
      <c r="S89" s="449"/>
      <c r="T89" s="449"/>
      <c r="U89" s="449"/>
      <c r="V89" s="698"/>
      <c r="W89" s="698"/>
    </row>
    <row r="90" spans="1:23" s="246" customFormat="1" ht="17.25" customHeight="1" x14ac:dyDescent="0.3">
      <c r="A90" s="237"/>
      <c r="B90" s="237"/>
      <c r="C90" s="136"/>
      <c r="D90" s="963"/>
      <c r="E90" s="963"/>
      <c r="F90" s="989" t="s">
        <v>434</v>
      </c>
      <c r="G90" s="963"/>
      <c r="H90" s="955"/>
      <c r="I90" s="1004"/>
      <c r="J90" s="1004"/>
      <c r="K90" s="1008">
        <f>SUM(K83:K89)</f>
        <v>7600</v>
      </c>
      <c r="L90" s="1009"/>
      <c r="M90" s="1008">
        <f>SUM(M83:M89)</f>
        <v>3500</v>
      </c>
      <c r="N90" s="995"/>
      <c r="O90" s="55"/>
      <c r="P90" s="1"/>
      <c r="Q90" s="449"/>
      <c r="R90" s="449"/>
      <c r="S90" s="449"/>
      <c r="T90" s="449"/>
      <c r="U90" s="449"/>
      <c r="V90" s="698"/>
      <c r="W90" s="698"/>
    </row>
    <row r="91" spans="1:23" s="246" customFormat="1" ht="9.75" customHeight="1" x14ac:dyDescent="0.3">
      <c r="A91" s="237"/>
      <c r="B91" s="237"/>
      <c r="C91" s="136"/>
      <c r="D91" s="963"/>
      <c r="E91" s="963"/>
      <c r="F91" s="989"/>
      <c r="G91" s="963"/>
      <c r="H91" s="955"/>
      <c r="I91" s="1004"/>
      <c r="J91" s="1004"/>
      <c r="K91" s="1009"/>
      <c r="L91" s="1009"/>
      <c r="M91" s="1009"/>
      <c r="N91" s="995"/>
      <c r="O91" s="55"/>
      <c r="P91" s="1"/>
      <c r="Q91" s="449"/>
      <c r="R91" s="449"/>
      <c r="S91" s="449"/>
      <c r="T91" s="449"/>
      <c r="U91" s="449"/>
      <c r="V91" s="1961"/>
      <c r="W91" s="1961"/>
    </row>
    <row r="92" spans="1:23" s="246" customFormat="1" ht="17.25" customHeight="1" x14ac:dyDescent="0.3">
      <c r="A92" s="237"/>
      <c r="B92" s="237"/>
      <c r="C92" s="136"/>
      <c r="D92" s="963"/>
      <c r="E92" s="963"/>
      <c r="F92" s="989" t="s">
        <v>2009</v>
      </c>
      <c r="G92" s="963"/>
      <c r="H92" s="955"/>
      <c r="I92" s="1004"/>
      <c r="J92" s="1004"/>
      <c r="K92" s="1008">
        <f>K90+K80</f>
        <v>19600</v>
      </c>
      <c r="L92" s="1009"/>
      <c r="M92" s="1008">
        <f>M90+M80</f>
        <v>16500</v>
      </c>
      <c r="N92" s="995"/>
      <c r="O92" s="55"/>
      <c r="P92" s="1"/>
      <c r="Q92" s="449"/>
      <c r="R92" s="449"/>
      <c r="S92" s="449"/>
      <c r="T92" s="449"/>
      <c r="U92" s="449"/>
      <c r="V92" s="1961"/>
      <c r="W92" s="1961"/>
    </row>
    <row r="93" spans="1:23" s="246" customFormat="1" ht="9.75" customHeight="1" x14ac:dyDescent="0.3">
      <c r="A93" s="237"/>
      <c r="B93" s="237"/>
      <c r="C93" s="136"/>
      <c r="D93" s="963"/>
      <c r="E93" s="963"/>
      <c r="F93" s="989"/>
      <c r="G93" s="963"/>
      <c r="H93" s="955"/>
      <c r="I93" s="1004"/>
      <c r="J93" s="1004"/>
      <c r="K93" s="1009"/>
      <c r="L93" s="1009"/>
      <c r="M93" s="1009"/>
      <c r="N93" s="995"/>
      <c r="O93" s="55"/>
      <c r="P93" s="1"/>
      <c r="Q93" s="449"/>
      <c r="R93" s="449"/>
      <c r="S93" s="449"/>
      <c r="T93" s="449"/>
      <c r="U93" s="449"/>
      <c r="V93" s="1961"/>
      <c r="W93" s="1961"/>
    </row>
    <row r="94" spans="1:23" s="246" customFormat="1" ht="17.25" customHeight="1" x14ac:dyDescent="0.3">
      <c r="A94" s="237">
        <v>15</v>
      </c>
      <c r="B94" s="237">
        <v>114</v>
      </c>
      <c r="C94" s="136"/>
      <c r="D94" s="963"/>
      <c r="E94" s="963"/>
      <c r="F94" s="1984" t="s">
        <v>2006</v>
      </c>
      <c r="G94" s="1136"/>
      <c r="H94" s="1136"/>
      <c r="I94" s="1136"/>
      <c r="J94" s="1136"/>
      <c r="K94" s="1985"/>
      <c r="L94" s="1985"/>
      <c r="M94" s="1985"/>
      <c r="N94" s="995"/>
      <c r="O94" s="55"/>
      <c r="P94" s="1"/>
      <c r="Q94" s="449"/>
      <c r="R94" s="449"/>
      <c r="S94" s="449"/>
      <c r="T94" s="449"/>
      <c r="U94" s="449"/>
      <c r="V94" s="1961"/>
      <c r="W94" s="1961"/>
    </row>
    <row r="95" spans="1:23" s="246" customFormat="1" ht="17.25" customHeight="1" x14ac:dyDescent="0.3">
      <c r="A95" s="237"/>
      <c r="B95" s="237"/>
      <c r="C95" s="136"/>
      <c r="D95" s="963"/>
      <c r="E95" s="963"/>
      <c r="F95" s="1986" t="s">
        <v>2007</v>
      </c>
      <c r="G95" s="1136"/>
      <c r="H95" s="1136"/>
      <c r="I95" s="1136"/>
      <c r="J95" s="1136"/>
      <c r="K95" s="1987">
        <v>12000</v>
      </c>
      <c r="L95" s="1942"/>
      <c r="M95" s="1987">
        <v>11000</v>
      </c>
      <c r="N95" s="995"/>
      <c r="O95" s="55"/>
      <c r="P95" s="1"/>
      <c r="Q95" s="449"/>
      <c r="R95" s="449"/>
      <c r="S95" s="449"/>
      <c r="T95" s="449"/>
      <c r="U95" s="449"/>
      <c r="V95" s="1961"/>
      <c r="W95" s="1961"/>
    </row>
    <row r="96" spans="1:23" s="246" customFormat="1" ht="17.25" customHeight="1" x14ac:dyDescent="0.3">
      <c r="A96" s="237"/>
      <c r="B96" s="237"/>
      <c r="C96" s="136"/>
      <c r="D96" s="963"/>
      <c r="E96" s="963"/>
      <c r="F96" s="1986" t="s">
        <v>2008</v>
      </c>
      <c r="G96" s="1136"/>
      <c r="H96" s="1136"/>
      <c r="I96" s="1136"/>
      <c r="J96" s="1136"/>
      <c r="K96" s="1987">
        <v>7600</v>
      </c>
      <c r="L96" s="1942"/>
      <c r="M96" s="1987">
        <v>5500</v>
      </c>
      <c r="N96" s="995"/>
      <c r="O96" s="55"/>
      <c r="P96" s="1"/>
      <c r="Q96" s="449"/>
      <c r="R96" s="449"/>
      <c r="S96" s="449"/>
      <c r="T96" s="449"/>
      <c r="U96" s="449"/>
      <c r="V96" s="1961"/>
      <c r="W96" s="1961"/>
    </row>
    <row r="97" spans="1:23" s="246" customFormat="1" ht="15" x14ac:dyDescent="0.3">
      <c r="A97" s="237"/>
      <c r="B97" s="237"/>
      <c r="C97" s="136"/>
      <c r="D97" s="1010"/>
      <c r="E97" s="963"/>
      <c r="F97" s="1984" t="s">
        <v>2005</v>
      </c>
      <c r="G97" s="1136"/>
      <c r="H97" s="1136"/>
      <c r="I97" s="1136"/>
      <c r="J97" s="1136"/>
      <c r="K97" s="1988">
        <f>SUM(K95:K96)</f>
        <v>19600</v>
      </c>
      <c r="L97" s="1985"/>
      <c r="M97" s="1988">
        <f>SUM(M95:M96)</f>
        <v>16500</v>
      </c>
      <c r="N97" s="963"/>
      <c r="O97" s="55"/>
      <c r="P97" s="449"/>
      <c r="Q97" s="449"/>
      <c r="R97" s="449"/>
      <c r="S97" s="449"/>
      <c r="T97" s="449"/>
      <c r="U97" s="449"/>
      <c r="V97" s="698"/>
      <c r="W97" s="698"/>
    </row>
    <row r="98" spans="1:23" s="246" customFormat="1" ht="17.25" customHeight="1" x14ac:dyDescent="0.3">
      <c r="A98" s="237"/>
      <c r="B98" s="237"/>
      <c r="C98" s="136"/>
      <c r="D98" s="963"/>
      <c r="E98" s="963"/>
      <c r="F98" s="989"/>
      <c r="G98" s="963"/>
      <c r="H98" s="955"/>
      <c r="I98" s="1004"/>
      <c r="J98" s="1004"/>
      <c r="K98" s="1009"/>
      <c r="L98" s="1009"/>
      <c r="M98" s="1009"/>
      <c r="N98" s="995"/>
      <c r="O98" s="55"/>
      <c r="P98" s="1"/>
      <c r="Q98" s="449"/>
      <c r="R98" s="449"/>
      <c r="S98" s="449"/>
      <c r="T98" s="449"/>
      <c r="U98" s="449"/>
      <c r="V98" s="1961"/>
      <c r="W98" s="1961"/>
    </row>
    <row r="99" spans="1:23" s="246" customFormat="1" ht="15" x14ac:dyDescent="0.3">
      <c r="C99" s="136"/>
      <c r="D99" s="961"/>
      <c r="E99" s="961"/>
      <c r="F99" s="989" t="s">
        <v>1641</v>
      </c>
      <c r="G99" s="955"/>
      <c r="H99" s="1011"/>
      <c r="I99" s="1011"/>
      <c r="J99" s="1012"/>
      <c r="K99" s="1012"/>
      <c r="L99" s="1012"/>
      <c r="M99" s="955"/>
      <c r="N99" s="1013"/>
      <c r="O99" s="307"/>
      <c r="R99" s="19"/>
      <c r="S99" s="19"/>
      <c r="T99" s="19"/>
    </row>
    <row r="100" spans="1:23" s="246" customFormat="1" ht="32.25" customHeight="1" x14ac:dyDescent="0.3">
      <c r="C100" s="136"/>
      <c r="D100" s="961"/>
      <c r="E100" s="961"/>
      <c r="F100" s="2147" t="s">
        <v>1640</v>
      </c>
      <c r="G100" s="2147"/>
      <c r="H100" s="2147"/>
      <c r="I100" s="2147"/>
      <c r="J100" s="2147"/>
      <c r="K100" s="2147"/>
      <c r="L100" s="2147"/>
      <c r="M100" s="2147"/>
      <c r="N100" s="1013"/>
      <c r="O100" s="696"/>
      <c r="P100" s="2139" t="s">
        <v>1761</v>
      </c>
      <c r="Q100" s="2139"/>
      <c r="R100" s="2139"/>
      <c r="S100" s="2139"/>
      <c r="T100" s="2139"/>
      <c r="U100" s="2139"/>
      <c r="V100" s="2139"/>
    </row>
    <row r="101" spans="1:23" s="246" customFormat="1" ht="7.5" customHeight="1" x14ac:dyDescent="0.3">
      <c r="C101" s="136"/>
      <c r="D101" s="961"/>
      <c r="E101" s="961"/>
      <c r="F101" s="956"/>
      <c r="G101" s="955"/>
      <c r="H101" s="1011"/>
      <c r="I101" s="1011"/>
      <c r="J101" s="1012"/>
      <c r="K101" s="963"/>
      <c r="L101" s="1012"/>
      <c r="M101" s="955"/>
      <c r="N101" s="1013"/>
      <c r="O101" s="696"/>
      <c r="P101" s="2139"/>
      <c r="Q101" s="2139"/>
      <c r="R101" s="2139"/>
      <c r="S101" s="2139"/>
      <c r="T101" s="2139"/>
      <c r="U101" s="2139"/>
      <c r="V101" s="2139"/>
    </row>
    <row r="102" spans="1:23" s="246" customFormat="1" ht="15" x14ac:dyDescent="0.3">
      <c r="C102" s="136"/>
      <c r="D102" s="961"/>
      <c r="E102" s="961"/>
      <c r="F102" s="956" t="s">
        <v>1629</v>
      </c>
      <c r="G102" s="955"/>
      <c r="H102" s="1011"/>
      <c r="I102" s="1011"/>
      <c r="J102" s="1012"/>
      <c r="K102" s="1012"/>
      <c r="L102" s="1012"/>
      <c r="M102" s="955"/>
      <c r="N102" s="1013"/>
      <c r="O102" s="696"/>
      <c r="P102" s="2139"/>
      <c r="Q102" s="2139"/>
      <c r="R102" s="2139"/>
      <c r="S102" s="2139"/>
      <c r="T102" s="2139"/>
      <c r="U102" s="2139"/>
      <c r="V102" s="2139"/>
    </row>
    <row r="103" spans="1:23" s="246" customFormat="1" ht="15" x14ac:dyDescent="0.3">
      <c r="A103" s="254">
        <v>15</v>
      </c>
      <c r="B103" s="708" t="s">
        <v>1655</v>
      </c>
      <c r="C103" s="136"/>
      <c r="D103" s="961"/>
      <c r="E103" s="961"/>
      <c r="F103" s="963" t="s">
        <v>1631</v>
      </c>
      <c r="G103" s="955"/>
      <c r="H103" s="1011"/>
      <c r="I103" s="1011"/>
      <c r="J103" s="1012"/>
      <c r="K103" s="1012">
        <f>M108</f>
        <v>800</v>
      </c>
      <c r="L103" s="1012"/>
      <c r="M103" s="1012">
        <v>700</v>
      </c>
      <c r="N103" s="1013"/>
      <c r="O103" s="696"/>
      <c r="P103" s="2139"/>
      <c r="Q103" s="2139"/>
      <c r="R103" s="2139"/>
      <c r="S103" s="2139"/>
      <c r="T103" s="2139"/>
      <c r="U103" s="2139"/>
      <c r="V103" s="2139"/>
    </row>
    <row r="104" spans="1:23" s="246" customFormat="1" ht="27" customHeight="1" x14ac:dyDescent="0.3">
      <c r="A104" s="254"/>
      <c r="B104" s="305"/>
      <c r="C104" s="136"/>
      <c r="D104" s="961"/>
      <c r="E104" s="961"/>
      <c r="F104" s="2140" t="s">
        <v>1627</v>
      </c>
      <c r="G104" s="2140"/>
      <c r="H104" s="2140"/>
      <c r="I104" s="2140"/>
      <c r="J104" s="2140"/>
      <c r="K104" s="1003">
        <v>100</v>
      </c>
      <c r="L104" s="1003"/>
      <c r="M104" s="1003">
        <v>200</v>
      </c>
      <c r="N104" s="1013"/>
      <c r="O104" s="696"/>
      <c r="P104" s="2139"/>
      <c r="Q104" s="2139"/>
      <c r="R104" s="2139"/>
      <c r="S104" s="2139"/>
      <c r="T104" s="2139"/>
      <c r="U104" s="2139"/>
      <c r="V104" s="2139"/>
    </row>
    <row r="105" spans="1:23" s="246" customFormat="1" ht="15" x14ac:dyDescent="0.3">
      <c r="B105" s="305"/>
      <c r="C105" s="136"/>
      <c r="D105" s="961"/>
      <c r="E105" s="961"/>
      <c r="F105" s="963" t="s">
        <v>1633</v>
      </c>
      <c r="G105" s="955"/>
      <c r="H105" s="1011"/>
      <c r="I105" s="1011"/>
      <c r="J105" s="1012"/>
      <c r="K105" s="1003">
        <v>50</v>
      </c>
      <c r="L105" s="1003"/>
      <c r="M105" s="1003">
        <v>50</v>
      </c>
      <c r="N105" s="1013"/>
      <c r="O105" s="696"/>
      <c r="P105" s="2139"/>
      <c r="Q105" s="2139"/>
      <c r="R105" s="2139"/>
      <c r="S105" s="2139"/>
      <c r="T105" s="2139"/>
      <c r="U105" s="2139"/>
      <c r="V105" s="2139"/>
    </row>
    <row r="106" spans="1:23" s="246" customFormat="1" ht="27" customHeight="1" x14ac:dyDescent="0.3">
      <c r="B106" s="305"/>
      <c r="C106" s="136"/>
      <c r="D106" s="961"/>
      <c r="E106" s="961"/>
      <c r="F106" s="2140" t="s">
        <v>1634</v>
      </c>
      <c r="G106" s="2140"/>
      <c r="H106" s="2140"/>
      <c r="I106" s="2140"/>
      <c r="J106" s="2140"/>
      <c r="K106" s="1003">
        <v>-200</v>
      </c>
      <c r="L106" s="1003"/>
      <c r="M106" s="1003">
        <v>-100</v>
      </c>
      <c r="N106" s="1013"/>
      <c r="O106" s="696"/>
      <c r="P106" s="2139"/>
      <c r="Q106" s="2139"/>
      <c r="R106" s="2139"/>
      <c r="S106" s="2139"/>
      <c r="T106" s="2139"/>
      <c r="U106" s="2139"/>
      <c r="V106" s="2139"/>
    </row>
    <row r="107" spans="1:23" s="246" customFormat="1" ht="15" x14ac:dyDescent="0.3">
      <c r="C107" s="136"/>
      <c r="D107" s="961"/>
      <c r="E107" s="961"/>
      <c r="F107" s="963" t="s">
        <v>1635</v>
      </c>
      <c r="G107" s="955"/>
      <c r="H107" s="1011"/>
      <c r="I107" s="1011"/>
      <c r="J107" s="1012"/>
      <c r="K107" s="1003">
        <v>-100</v>
      </c>
      <c r="L107" s="1003"/>
      <c r="M107" s="1003">
        <v>-50</v>
      </c>
      <c r="N107" s="1013"/>
      <c r="O107" s="696"/>
      <c r="P107" s="2139"/>
      <c r="Q107" s="2139"/>
      <c r="R107" s="2139"/>
      <c r="S107" s="2139"/>
      <c r="T107" s="2139"/>
      <c r="U107" s="2139"/>
      <c r="V107" s="2139"/>
    </row>
    <row r="108" spans="1:23" s="246" customFormat="1" ht="15" x14ac:dyDescent="0.3">
      <c r="C108" s="136"/>
      <c r="D108" s="961"/>
      <c r="E108" s="961"/>
      <c r="F108" s="963" t="s">
        <v>1632</v>
      </c>
      <c r="G108" s="963"/>
      <c r="H108" s="1011"/>
      <c r="I108" s="1011"/>
      <c r="J108" s="1012"/>
      <c r="K108" s="1008">
        <f>SUM(K103:K107)</f>
        <v>650</v>
      </c>
      <c r="L108" s="1009"/>
      <c r="M108" s="1008">
        <f>SUM(M103:M107)</f>
        <v>800</v>
      </c>
      <c r="N108" s="1013"/>
      <c r="O108" s="696"/>
      <c r="P108" s="2139"/>
      <c r="Q108" s="2139"/>
      <c r="R108" s="2139"/>
      <c r="S108" s="2139"/>
      <c r="T108" s="2139"/>
      <c r="U108" s="2139"/>
      <c r="V108" s="2139"/>
    </row>
    <row r="109" spans="1:23" s="246" customFormat="1" ht="15" x14ac:dyDescent="0.3">
      <c r="B109" s="305"/>
      <c r="C109" s="136"/>
      <c r="D109" s="961"/>
      <c r="E109" s="961"/>
      <c r="F109" s="956" t="s">
        <v>1628</v>
      </c>
      <c r="G109" s="963"/>
      <c r="H109" s="1011"/>
      <c r="I109" s="1011"/>
      <c r="J109" s="1012"/>
      <c r="K109" s="1012"/>
      <c r="L109" s="1012"/>
      <c r="M109" s="955"/>
      <c r="N109" s="1013"/>
      <c r="O109" s="696"/>
      <c r="P109" s="2139"/>
      <c r="Q109" s="2139"/>
      <c r="R109" s="2139"/>
      <c r="S109" s="2139"/>
      <c r="T109" s="2139"/>
      <c r="U109" s="2139"/>
      <c r="V109" s="2139"/>
    </row>
    <row r="110" spans="1:23" s="246" customFormat="1" ht="15" x14ac:dyDescent="0.3">
      <c r="A110" s="631">
        <v>1058</v>
      </c>
      <c r="B110" s="631" t="s">
        <v>1656</v>
      </c>
      <c r="C110" s="136"/>
      <c r="D110" s="961"/>
      <c r="E110" s="961"/>
      <c r="F110" s="963" t="s">
        <v>1631</v>
      </c>
      <c r="G110" s="963"/>
      <c r="H110" s="1011"/>
      <c r="I110" s="1011"/>
      <c r="J110" s="1012"/>
      <c r="K110" s="1012">
        <f>M115</f>
        <v>600</v>
      </c>
      <c r="L110" s="1012"/>
      <c r="M110" s="1012">
        <v>500</v>
      </c>
      <c r="N110" s="1013"/>
      <c r="O110" s="696"/>
      <c r="P110" s="2139"/>
      <c r="Q110" s="2139"/>
      <c r="R110" s="2139"/>
      <c r="S110" s="2139"/>
      <c r="T110" s="2139"/>
      <c r="U110" s="2139"/>
      <c r="V110" s="2139"/>
    </row>
    <row r="111" spans="1:23" s="246" customFormat="1" ht="33.75" customHeight="1" x14ac:dyDescent="0.3">
      <c r="C111" s="136"/>
      <c r="D111" s="961"/>
      <c r="E111" s="961"/>
      <c r="F111" s="2140" t="s">
        <v>1627</v>
      </c>
      <c r="G111" s="2140"/>
      <c r="H111" s="2140"/>
      <c r="I111" s="2140"/>
      <c r="J111" s="2140"/>
      <c r="K111" s="1003">
        <v>150</v>
      </c>
      <c r="L111" s="1003"/>
      <c r="M111" s="1003">
        <v>200</v>
      </c>
      <c r="N111" s="1013"/>
      <c r="O111" s="696"/>
      <c r="P111" s="2139"/>
      <c r="Q111" s="2139"/>
      <c r="R111" s="2139"/>
      <c r="S111" s="2139"/>
      <c r="T111" s="2139"/>
      <c r="U111" s="2139"/>
      <c r="V111" s="2139"/>
    </row>
    <row r="112" spans="1:23" s="246" customFormat="1" ht="15" x14ac:dyDescent="0.3">
      <c r="C112" s="136"/>
      <c r="D112" s="961"/>
      <c r="E112" s="961"/>
      <c r="F112" s="963" t="s">
        <v>1633</v>
      </c>
      <c r="G112" s="955"/>
      <c r="H112" s="1011"/>
      <c r="I112" s="1011"/>
      <c r="J112" s="1012"/>
      <c r="K112" s="1003">
        <v>100</v>
      </c>
      <c r="L112" s="1003"/>
      <c r="M112" s="1003">
        <v>50</v>
      </c>
      <c r="N112" s="1013"/>
      <c r="O112" s="696"/>
      <c r="P112" s="2139"/>
      <c r="Q112" s="2139"/>
      <c r="R112" s="2139"/>
      <c r="S112" s="2139"/>
      <c r="T112" s="2139"/>
      <c r="U112" s="2139"/>
      <c r="V112" s="2139"/>
    </row>
    <row r="113" spans="1:23" s="246" customFormat="1" ht="33" customHeight="1" x14ac:dyDescent="0.3">
      <c r="C113" s="136"/>
      <c r="D113" s="961"/>
      <c r="E113" s="961"/>
      <c r="F113" s="2140" t="s">
        <v>1634</v>
      </c>
      <c r="G113" s="2140"/>
      <c r="H113" s="2140"/>
      <c r="I113" s="2140"/>
      <c r="J113" s="2140"/>
      <c r="K113" s="1003">
        <v>-250</v>
      </c>
      <c r="L113" s="1003"/>
      <c r="M113" s="1003">
        <v>-100</v>
      </c>
      <c r="N113" s="1013"/>
      <c r="O113" s="696"/>
      <c r="P113" s="2139"/>
      <c r="Q113" s="2139"/>
      <c r="R113" s="2139"/>
      <c r="S113" s="2139"/>
      <c r="T113" s="2139"/>
      <c r="U113" s="2139"/>
      <c r="V113" s="2139"/>
    </row>
    <row r="114" spans="1:23" s="246" customFormat="1" ht="15" x14ac:dyDescent="0.3">
      <c r="C114" s="136"/>
      <c r="D114" s="961"/>
      <c r="E114" s="961"/>
      <c r="F114" s="963" t="s">
        <v>1635</v>
      </c>
      <c r="G114" s="955"/>
      <c r="H114" s="1011"/>
      <c r="I114" s="1011"/>
      <c r="J114" s="1012"/>
      <c r="K114" s="1003">
        <v>-300</v>
      </c>
      <c r="L114" s="1003"/>
      <c r="M114" s="1003">
        <v>-50</v>
      </c>
      <c r="N114" s="1013"/>
      <c r="O114" s="697"/>
      <c r="P114" s="2139"/>
      <c r="Q114" s="2139"/>
      <c r="R114" s="2139"/>
      <c r="S114" s="2139"/>
      <c r="T114" s="2139"/>
      <c r="U114" s="2139"/>
      <c r="V114" s="2139"/>
    </row>
    <row r="115" spans="1:23" s="246" customFormat="1" ht="15" x14ac:dyDescent="0.3">
      <c r="C115" s="136"/>
      <c r="D115" s="961"/>
      <c r="E115" s="961"/>
      <c r="F115" s="963" t="s">
        <v>1632</v>
      </c>
      <c r="G115" s="955"/>
      <c r="H115" s="1011"/>
      <c r="I115" s="1011"/>
      <c r="J115" s="1012"/>
      <c r="K115" s="1008">
        <f>SUM(K110:K114)</f>
        <v>300</v>
      </c>
      <c r="L115" s="1009"/>
      <c r="M115" s="1008">
        <f>SUM(M110:M114)</f>
        <v>600</v>
      </c>
      <c r="N115" s="1013"/>
      <c r="O115" s="696"/>
      <c r="P115" s="2139"/>
      <c r="Q115" s="2139"/>
      <c r="R115" s="2139"/>
      <c r="S115" s="2139"/>
      <c r="T115" s="2139"/>
      <c r="U115" s="2139"/>
      <c r="V115" s="2139"/>
    </row>
    <row r="116" spans="1:23" s="246" customFormat="1" ht="7.5" customHeight="1" x14ac:dyDescent="0.3">
      <c r="C116" s="136"/>
      <c r="D116" s="961"/>
      <c r="E116" s="961"/>
      <c r="F116" s="956"/>
      <c r="G116" s="955"/>
      <c r="H116" s="1011"/>
      <c r="I116" s="1011"/>
      <c r="J116" s="1012"/>
      <c r="K116" s="1012"/>
      <c r="L116" s="1012"/>
      <c r="M116" s="955"/>
      <c r="N116" s="995"/>
      <c r="O116" s="55"/>
      <c r="P116" s="1"/>
      <c r="R116" s="19"/>
      <c r="S116" s="19"/>
      <c r="T116" s="19"/>
    </row>
    <row r="117" spans="1:23" s="246" customFormat="1" ht="15" x14ac:dyDescent="0.3">
      <c r="A117" s="357"/>
      <c r="B117" s="237"/>
      <c r="C117" s="136"/>
      <c r="D117" s="961"/>
      <c r="E117" s="963"/>
      <c r="F117" s="1902" t="s">
        <v>1934</v>
      </c>
      <c r="G117" s="1136"/>
      <c r="H117" s="1903"/>
      <c r="I117" s="1011"/>
      <c r="J117" s="1012"/>
      <c r="K117" s="1008">
        <f t="shared" ref="K117" si="0">K108+K115</f>
        <v>950</v>
      </c>
      <c r="L117" s="1009"/>
      <c r="M117" s="1008">
        <f>M108+M115</f>
        <v>1400</v>
      </c>
      <c r="N117" s="995"/>
      <c r="O117" s="55"/>
      <c r="P117" s="752" t="s">
        <v>1976</v>
      </c>
      <c r="R117" s="19"/>
      <c r="S117" s="19"/>
      <c r="T117" s="19"/>
    </row>
    <row r="118" spans="1:23" s="246" customFormat="1" ht="9.75" customHeight="1" thickBot="1" x14ac:dyDescent="0.35">
      <c r="A118" s="237"/>
      <c r="B118" s="237"/>
      <c r="C118" s="136"/>
      <c r="D118" s="961"/>
      <c r="E118" s="963"/>
      <c r="F118" s="1014"/>
      <c r="G118" s="1014"/>
      <c r="H118" s="1014"/>
      <c r="I118" s="1014"/>
      <c r="J118" s="1014"/>
      <c r="K118" s="1014"/>
      <c r="L118" s="1014"/>
      <c r="M118" s="1014"/>
      <c r="N118" s="995"/>
      <c r="O118" s="55"/>
      <c r="P118" s="1"/>
      <c r="R118" s="19"/>
      <c r="S118" s="19"/>
      <c r="T118" s="19"/>
    </row>
    <row r="119" spans="1:23" s="246" customFormat="1" ht="14.4" customHeight="1" x14ac:dyDescent="0.3">
      <c r="A119" s="237"/>
      <c r="B119" s="237"/>
      <c r="C119" s="136"/>
      <c r="D119" s="961"/>
      <c r="E119" s="963"/>
      <c r="F119" s="974" t="s">
        <v>1133</v>
      </c>
      <c r="G119" s="975"/>
      <c r="H119" s="975"/>
      <c r="I119" s="975"/>
      <c r="J119" s="975"/>
      <c r="K119" s="975"/>
      <c r="L119" s="975"/>
      <c r="M119" s="976"/>
      <c r="N119" s="1007"/>
      <c r="O119" s="55"/>
      <c r="P119" s="2105" t="s">
        <v>1762</v>
      </c>
      <c r="Q119" s="2105"/>
      <c r="R119" s="2105"/>
      <c r="S119" s="2105"/>
      <c r="T119" s="2105"/>
      <c r="U119" s="2105"/>
      <c r="V119" s="2105"/>
      <c r="W119" s="698"/>
    </row>
    <row r="120" spans="1:23" s="246" customFormat="1" ht="69.75" customHeight="1" x14ac:dyDescent="0.3">
      <c r="A120" s="237"/>
      <c r="B120" s="237"/>
      <c r="C120" s="136"/>
      <c r="D120" s="961"/>
      <c r="E120" s="963"/>
      <c r="F120" s="2132" t="s">
        <v>2010</v>
      </c>
      <c r="G120" s="2133"/>
      <c r="H120" s="2133"/>
      <c r="I120" s="2133"/>
      <c r="J120" s="2133"/>
      <c r="K120" s="2133"/>
      <c r="L120" s="2133"/>
      <c r="M120" s="2134"/>
      <c r="N120" s="1007"/>
      <c r="O120" s="55"/>
      <c r="P120" s="2105"/>
      <c r="Q120" s="2105"/>
      <c r="R120" s="2105"/>
      <c r="S120" s="2105"/>
      <c r="T120" s="2105"/>
      <c r="U120" s="2105"/>
      <c r="V120" s="2105"/>
      <c r="W120" s="698"/>
    </row>
    <row r="121" spans="1:23" s="246" customFormat="1" ht="39.75" customHeight="1" thickBot="1" x14ac:dyDescent="0.35">
      <c r="A121" s="237"/>
      <c r="B121" s="237"/>
      <c r="C121" s="136"/>
      <c r="D121" s="961"/>
      <c r="E121" s="963"/>
      <c r="F121" s="2135" t="s">
        <v>1858</v>
      </c>
      <c r="G121" s="2136"/>
      <c r="H121" s="2136"/>
      <c r="I121" s="2136"/>
      <c r="J121" s="2136"/>
      <c r="K121" s="2136"/>
      <c r="L121" s="2136"/>
      <c r="M121" s="2137"/>
      <c r="N121" s="1007"/>
      <c r="O121" s="55"/>
      <c r="P121" s="2105"/>
      <c r="Q121" s="2105"/>
      <c r="R121" s="2105"/>
      <c r="S121" s="2105"/>
      <c r="T121" s="2105"/>
      <c r="U121" s="2105"/>
      <c r="V121" s="2105"/>
      <c r="W121" s="698"/>
    </row>
    <row r="122" spans="1:23" s="246" customFormat="1" ht="12.75" customHeight="1" x14ac:dyDescent="0.3">
      <c r="A122" s="237"/>
      <c r="B122" s="237"/>
      <c r="C122" s="136"/>
      <c r="D122" s="1010"/>
      <c r="E122" s="1010"/>
      <c r="F122" s="1010"/>
      <c r="G122" s="1010"/>
      <c r="H122" s="1010"/>
      <c r="I122" s="1010"/>
      <c r="J122" s="1010"/>
      <c r="K122" s="1010"/>
      <c r="L122" s="1010"/>
      <c r="M122" s="1010"/>
      <c r="N122" s="1010"/>
      <c r="O122" s="55"/>
      <c r="P122" s="2105"/>
      <c r="Q122" s="2105"/>
      <c r="R122" s="2105"/>
      <c r="S122" s="2105"/>
      <c r="T122" s="2105"/>
      <c r="U122" s="2105"/>
      <c r="V122" s="2105"/>
      <c r="W122" s="698"/>
    </row>
    <row r="123" spans="1:23" s="246" customFormat="1" ht="33" customHeight="1" thickBot="1" x14ac:dyDescent="0.35">
      <c r="A123" s="237"/>
      <c r="B123" s="237"/>
      <c r="C123" s="136"/>
      <c r="D123" s="961" t="s">
        <v>286</v>
      </c>
      <c r="E123" s="961">
        <f>E59</f>
        <v>2.4000000000000004</v>
      </c>
      <c r="F123" s="956" t="s">
        <v>1573</v>
      </c>
      <c r="G123" s="956"/>
      <c r="H123" s="1014"/>
      <c r="I123" s="1014"/>
      <c r="J123" s="1014"/>
      <c r="K123" s="1014"/>
      <c r="L123" s="1014"/>
      <c r="M123" s="1014"/>
      <c r="N123" s="995"/>
      <c r="O123" s="55"/>
      <c r="P123" s="2105"/>
      <c r="Q123" s="2105"/>
      <c r="R123" s="2105"/>
      <c r="S123" s="2105"/>
      <c r="T123" s="2105"/>
      <c r="U123" s="2105"/>
      <c r="V123" s="2105"/>
      <c r="W123" s="698"/>
    </row>
    <row r="124" spans="1:23" s="246" customFormat="1" ht="15" x14ac:dyDescent="0.3">
      <c r="A124" s="237"/>
      <c r="B124" s="237"/>
      <c r="C124" s="136"/>
      <c r="D124" s="963"/>
      <c r="E124" s="963"/>
      <c r="F124" s="974" t="s">
        <v>1133</v>
      </c>
      <c r="G124" s="975"/>
      <c r="H124" s="975"/>
      <c r="I124" s="975"/>
      <c r="J124" s="975"/>
      <c r="K124" s="975"/>
      <c r="L124" s="975"/>
      <c r="M124" s="976"/>
      <c r="N124" s="995"/>
      <c r="O124" s="55"/>
      <c r="P124" s="2105"/>
      <c r="Q124" s="2105"/>
      <c r="R124" s="2105"/>
      <c r="S124" s="2105"/>
      <c r="T124" s="2105"/>
      <c r="U124" s="2105"/>
      <c r="V124" s="2105"/>
      <c r="W124" s="698"/>
    </row>
    <row r="125" spans="1:23" s="246" customFormat="1" ht="69" customHeight="1" x14ac:dyDescent="0.3">
      <c r="A125" s="237"/>
      <c r="B125" s="237"/>
      <c r="C125" s="136"/>
      <c r="D125" s="1010"/>
      <c r="E125" s="963"/>
      <c r="F125" s="2132" t="s">
        <v>1765</v>
      </c>
      <c r="G125" s="2133"/>
      <c r="H125" s="2133"/>
      <c r="I125" s="2133"/>
      <c r="J125" s="2133"/>
      <c r="K125" s="2133"/>
      <c r="L125" s="2133"/>
      <c r="M125" s="2134"/>
      <c r="N125" s="1007"/>
      <c r="O125" s="55"/>
      <c r="P125" s="2105"/>
      <c r="Q125" s="2105"/>
      <c r="R125" s="2105"/>
      <c r="S125" s="2105"/>
      <c r="T125" s="2105"/>
      <c r="U125" s="2105"/>
      <c r="V125" s="2105"/>
      <c r="W125" s="698"/>
    </row>
    <row r="126" spans="1:23" s="246" customFormat="1" ht="63.75" customHeight="1" x14ac:dyDescent="0.3">
      <c r="A126" s="237"/>
      <c r="B126" s="237"/>
      <c r="C126" s="136"/>
      <c r="D126" s="1010"/>
      <c r="E126" s="963"/>
      <c r="F126" s="2132" t="s">
        <v>1654</v>
      </c>
      <c r="G126" s="2133"/>
      <c r="H126" s="2133"/>
      <c r="I126" s="2133"/>
      <c r="J126" s="2133"/>
      <c r="K126" s="2133"/>
      <c r="L126" s="2133"/>
      <c r="M126" s="2134"/>
      <c r="N126" s="1007"/>
      <c r="O126" s="55"/>
      <c r="P126" s="2105"/>
      <c r="Q126" s="2105"/>
      <c r="R126" s="2105"/>
      <c r="S126" s="2105"/>
      <c r="T126" s="2105"/>
      <c r="U126" s="2105"/>
      <c r="V126" s="2105"/>
      <c r="W126" s="698"/>
    </row>
    <row r="127" spans="1:23" s="246" customFormat="1" ht="52.5" customHeight="1" thickBot="1" x14ac:dyDescent="0.35">
      <c r="A127" s="237"/>
      <c r="B127" s="237"/>
      <c r="C127" s="136"/>
      <c r="D127" s="1010"/>
      <c r="E127" s="963"/>
      <c r="F127" s="2132" t="s">
        <v>1644</v>
      </c>
      <c r="G127" s="2133"/>
      <c r="H127" s="2133"/>
      <c r="I127" s="2133"/>
      <c r="J127" s="2133"/>
      <c r="K127" s="2133"/>
      <c r="L127" s="2133"/>
      <c r="M127" s="2134"/>
      <c r="N127" s="1007"/>
      <c r="O127" s="55"/>
      <c r="P127" s="2105"/>
      <c r="Q127" s="2105"/>
      <c r="R127" s="2105"/>
      <c r="S127" s="2105"/>
      <c r="T127" s="2105"/>
      <c r="U127" s="2105"/>
      <c r="V127" s="2105"/>
      <c r="W127" s="698"/>
    </row>
    <row r="128" spans="1:23" s="246" customFormat="1" ht="92.25" customHeight="1" thickBot="1" x14ac:dyDescent="0.35">
      <c r="A128" s="237"/>
      <c r="B128" s="237"/>
      <c r="C128" s="136"/>
      <c r="D128" s="1010"/>
      <c r="E128" s="963"/>
      <c r="F128" s="2148" t="s">
        <v>2064</v>
      </c>
      <c r="G128" s="2149"/>
      <c r="H128" s="2149"/>
      <c r="I128" s="2149"/>
      <c r="J128" s="2149"/>
      <c r="K128" s="2149"/>
      <c r="L128" s="2149"/>
      <c r="M128" s="2150"/>
      <c r="N128" s="1007"/>
      <c r="P128" s="752" t="s">
        <v>1976</v>
      </c>
      <c r="Q128" s="698"/>
      <c r="R128" s="698"/>
      <c r="S128" s="698"/>
      <c r="T128" s="698"/>
      <c r="U128" s="698"/>
      <c r="V128" s="698"/>
      <c r="W128" s="698"/>
    </row>
    <row r="129" spans="1:20" s="246" customFormat="1" ht="15.6" thickTop="1" x14ac:dyDescent="0.3">
      <c r="A129" s="237"/>
      <c r="B129" s="237"/>
      <c r="C129" s="136"/>
      <c r="D129" s="963"/>
      <c r="E129" s="963"/>
      <c r="F129" s="1014"/>
      <c r="G129" s="1014"/>
      <c r="H129" s="1014"/>
      <c r="I129" s="1014"/>
      <c r="J129" s="1014"/>
      <c r="K129" s="1014"/>
      <c r="L129" s="1014"/>
      <c r="M129" s="1014"/>
      <c r="N129" s="995"/>
      <c r="O129" s="55"/>
      <c r="P129" s="1"/>
      <c r="R129" s="19"/>
      <c r="S129" s="19"/>
      <c r="T129" s="19"/>
    </row>
    <row r="130" spans="1:20" s="3" customFormat="1" ht="15" x14ac:dyDescent="0.3">
      <c r="A130" s="144"/>
      <c r="B130" s="144"/>
      <c r="C130" s="136"/>
      <c r="D130" s="961" t="s">
        <v>286</v>
      </c>
      <c r="E130" s="961">
        <f>E59+0.1</f>
        <v>2.5000000000000004</v>
      </c>
      <c r="F130" s="1015" t="s">
        <v>588</v>
      </c>
      <c r="G130" s="955"/>
      <c r="H130" s="955"/>
      <c r="I130" s="957"/>
      <c r="J130" s="957"/>
      <c r="K130" s="1016"/>
      <c r="L130" s="1017"/>
      <c r="M130" s="1017"/>
      <c r="N130" s="995"/>
      <c r="O130" s="55"/>
      <c r="P130" s="1"/>
      <c r="Q130" s="246"/>
      <c r="R130" s="19"/>
      <c r="S130" s="19"/>
      <c r="T130" s="19"/>
    </row>
    <row r="131" spans="1:20" s="3" customFormat="1" ht="15" x14ac:dyDescent="0.3">
      <c r="A131" s="154">
        <v>118</v>
      </c>
      <c r="B131" s="144" t="s">
        <v>216</v>
      </c>
      <c r="C131" s="136"/>
      <c r="D131" s="956"/>
      <c r="E131" s="956"/>
      <c r="F131" s="989" t="s">
        <v>549</v>
      </c>
      <c r="G131" s="955"/>
      <c r="H131" s="955"/>
      <c r="I131" s="955"/>
      <c r="J131" s="955"/>
      <c r="K131" s="1016"/>
      <c r="L131" s="1017"/>
      <c r="M131" s="1017"/>
      <c r="N131" s="995"/>
      <c r="O131" s="55"/>
      <c r="P131" s="1"/>
      <c r="Q131" s="246"/>
      <c r="R131" s="19"/>
      <c r="S131" s="19"/>
      <c r="T131" s="19"/>
    </row>
    <row r="132" spans="1:20" s="3" customFormat="1" ht="15" x14ac:dyDescent="0.3">
      <c r="A132" s="144">
        <v>1004</v>
      </c>
      <c r="B132" s="144"/>
      <c r="C132" s="136"/>
      <c r="D132" s="963"/>
      <c r="E132" s="963"/>
      <c r="F132" s="955"/>
      <c r="G132" s="986" t="s">
        <v>262</v>
      </c>
      <c r="H132" s="955"/>
      <c r="I132" s="966"/>
      <c r="J132" s="966"/>
      <c r="K132" s="997">
        <v>539</v>
      </c>
      <c r="L132" s="998"/>
      <c r="M132" s="998">
        <v>432</v>
      </c>
      <c r="N132" s="995"/>
      <c r="O132" s="55"/>
      <c r="P132" s="1"/>
      <c r="R132" s="19"/>
      <c r="S132" s="19"/>
      <c r="T132" s="19"/>
    </row>
    <row r="133" spans="1:20" s="3" customFormat="1" ht="15" x14ac:dyDescent="0.3">
      <c r="A133" s="144"/>
      <c r="B133" s="144"/>
      <c r="C133" s="136"/>
      <c r="D133" s="963"/>
      <c r="E133" s="963"/>
      <c r="F133" s="955"/>
      <c r="G133" s="986" t="s">
        <v>591</v>
      </c>
      <c r="H133" s="955"/>
      <c r="I133" s="963"/>
      <c r="J133" s="963"/>
      <c r="K133" s="997">
        <v>172</v>
      </c>
      <c r="L133" s="998"/>
      <c r="M133" s="998">
        <v>138</v>
      </c>
      <c r="N133" s="995"/>
      <c r="O133" s="55"/>
      <c r="P133" s="1"/>
      <c r="R133" s="19"/>
      <c r="S133" s="19"/>
      <c r="T133" s="19"/>
    </row>
    <row r="134" spans="1:20" s="3" customFormat="1" ht="15" x14ac:dyDescent="0.3">
      <c r="A134" s="144"/>
      <c r="B134" s="144"/>
      <c r="C134" s="136"/>
      <c r="D134" s="963"/>
      <c r="E134" s="963"/>
      <c r="F134" s="955"/>
      <c r="G134" s="986" t="s">
        <v>348</v>
      </c>
      <c r="H134" s="955"/>
      <c r="I134" s="963"/>
      <c r="J134" s="963"/>
      <c r="K134" s="997">
        <v>230</v>
      </c>
      <c r="L134" s="998"/>
      <c r="M134" s="998">
        <v>185</v>
      </c>
      <c r="N134" s="995"/>
      <c r="O134" s="55"/>
      <c r="P134" s="1"/>
      <c r="R134" s="19"/>
      <c r="S134" s="19"/>
      <c r="T134" s="19"/>
    </row>
    <row r="135" spans="1:20" s="3" customFormat="1" ht="15" x14ac:dyDescent="0.3">
      <c r="A135" s="144"/>
      <c r="B135" s="144"/>
      <c r="C135" s="136"/>
      <c r="D135" s="963"/>
      <c r="E135" s="963"/>
      <c r="F135" s="955"/>
      <c r="G135" s="986" t="s">
        <v>592</v>
      </c>
      <c r="H135" s="955"/>
      <c r="I135" s="963"/>
      <c r="J135" s="963"/>
      <c r="K135" s="997">
        <v>344</v>
      </c>
      <c r="L135" s="998"/>
      <c r="M135" s="998">
        <v>276</v>
      </c>
      <c r="N135" s="995"/>
      <c r="O135" s="55"/>
      <c r="P135" s="1"/>
      <c r="R135" s="19"/>
      <c r="S135" s="19"/>
      <c r="T135" s="19"/>
    </row>
    <row r="136" spans="1:20" s="3" customFormat="1" ht="15" x14ac:dyDescent="0.3">
      <c r="A136" s="144"/>
      <c r="B136" s="144"/>
      <c r="C136" s="136"/>
      <c r="D136" s="963"/>
      <c r="E136" s="963"/>
      <c r="F136" s="955"/>
      <c r="G136" s="986" t="s">
        <v>256</v>
      </c>
      <c r="H136" s="955"/>
      <c r="I136" s="963"/>
      <c r="J136" s="963"/>
      <c r="K136" s="997">
        <v>86</v>
      </c>
      <c r="L136" s="998"/>
      <c r="M136" s="998">
        <v>69</v>
      </c>
      <c r="N136" s="995"/>
      <c r="O136" s="55"/>
      <c r="P136" s="1"/>
      <c r="R136" s="19"/>
      <c r="S136" s="19"/>
      <c r="T136" s="19"/>
    </row>
    <row r="137" spans="1:20" s="3" customFormat="1" ht="16.5" customHeight="1" x14ac:dyDescent="0.3">
      <c r="A137" s="144"/>
      <c r="B137" s="144"/>
      <c r="C137" s="136"/>
      <c r="D137" s="963"/>
      <c r="E137" s="963"/>
      <c r="F137" s="955"/>
      <c r="G137" s="986" t="s">
        <v>577</v>
      </c>
      <c r="H137" s="955"/>
      <c r="I137" s="963"/>
      <c r="J137" s="963"/>
      <c r="K137" s="997">
        <v>34</v>
      </c>
      <c r="L137" s="998"/>
      <c r="M137" s="998">
        <v>27</v>
      </c>
      <c r="N137" s="995"/>
      <c r="O137" s="55"/>
      <c r="P137" s="1"/>
      <c r="R137" s="19"/>
      <c r="S137" s="19"/>
      <c r="T137" s="19"/>
    </row>
    <row r="138" spans="1:20" s="3" customFormat="1" ht="15" x14ac:dyDescent="0.3">
      <c r="A138" s="144"/>
      <c r="B138" s="144"/>
      <c r="C138" s="136"/>
      <c r="D138" s="963"/>
      <c r="E138" s="963"/>
      <c r="F138" s="955"/>
      <c r="G138" s="986" t="s">
        <v>530</v>
      </c>
      <c r="H138" s="955"/>
      <c r="I138" s="963"/>
      <c r="J138" s="963"/>
      <c r="K138" s="997">
        <v>50</v>
      </c>
      <c r="L138" s="998"/>
      <c r="M138" s="998">
        <v>40</v>
      </c>
      <c r="N138" s="995"/>
      <c r="O138" s="55"/>
      <c r="P138" s="1"/>
      <c r="R138" s="19"/>
      <c r="S138" s="19"/>
      <c r="T138" s="19"/>
    </row>
    <row r="139" spans="1:20" s="3" customFormat="1" ht="16.5" customHeight="1" x14ac:dyDescent="0.3">
      <c r="A139" s="144"/>
      <c r="B139" s="144"/>
      <c r="C139" s="136"/>
      <c r="D139" s="963"/>
      <c r="E139" s="963"/>
      <c r="F139" s="955"/>
      <c r="G139" s="986" t="s">
        <v>301</v>
      </c>
      <c r="H139" s="955"/>
      <c r="I139" s="963"/>
      <c r="J139" s="963"/>
      <c r="K139" s="997">
        <v>67</v>
      </c>
      <c r="L139" s="998"/>
      <c r="M139" s="998">
        <v>54</v>
      </c>
      <c r="N139" s="995"/>
      <c r="O139" s="55"/>
      <c r="P139" s="1"/>
      <c r="R139" s="19"/>
      <c r="S139" s="19"/>
      <c r="T139" s="19"/>
    </row>
    <row r="140" spans="1:20" s="3" customFormat="1" ht="15" x14ac:dyDescent="0.3">
      <c r="A140" s="144"/>
      <c r="B140" s="144"/>
      <c r="C140" s="136"/>
      <c r="D140" s="963"/>
      <c r="E140" s="963"/>
      <c r="F140" s="955"/>
      <c r="G140" s="986" t="s">
        <v>102</v>
      </c>
      <c r="H140" s="955"/>
      <c r="I140" s="963"/>
      <c r="J140" s="963"/>
      <c r="K140" s="1018">
        <v>40</v>
      </c>
      <c r="L140" s="998"/>
      <c r="M140" s="998">
        <v>33</v>
      </c>
      <c r="N140" s="995"/>
      <c r="O140" s="55"/>
      <c r="P140" s="1"/>
      <c r="R140" s="19"/>
      <c r="S140" s="19"/>
      <c r="T140" s="19"/>
    </row>
    <row r="141" spans="1:20" s="3" customFormat="1" ht="21" customHeight="1" x14ac:dyDescent="0.3">
      <c r="A141" s="144"/>
      <c r="B141" s="144"/>
      <c r="C141" s="136"/>
      <c r="D141" s="963"/>
      <c r="E141" s="963"/>
      <c r="F141" s="955"/>
      <c r="G141" s="989" t="s">
        <v>103</v>
      </c>
      <c r="H141" s="955"/>
      <c r="I141" s="963"/>
      <c r="J141" s="963"/>
      <c r="K141" s="1019">
        <f>SUM(K132:K140)</f>
        <v>1562</v>
      </c>
      <c r="L141" s="1020"/>
      <c r="M141" s="1019">
        <f>SUM(M132:M140)</f>
        <v>1254</v>
      </c>
      <c r="N141" s="995"/>
      <c r="O141" s="55"/>
      <c r="P141" s="1"/>
      <c r="R141" s="19"/>
      <c r="S141" s="19"/>
      <c r="T141" s="19"/>
    </row>
    <row r="142" spans="1:20" s="246" customFormat="1" ht="7.5" customHeight="1" x14ac:dyDescent="0.3">
      <c r="A142" s="237"/>
      <c r="B142" s="237"/>
      <c r="C142" s="136"/>
      <c r="D142" s="955"/>
      <c r="E142" s="955"/>
      <c r="F142" s="955"/>
      <c r="G142" s="955"/>
      <c r="H142" s="955"/>
      <c r="I142" s="963"/>
      <c r="J142" s="963"/>
      <c r="K142" s="1005"/>
      <c r="L142" s="983"/>
      <c r="M142" s="1005"/>
      <c r="N142" s="955"/>
      <c r="O142" s="1"/>
      <c r="P142" s="1"/>
      <c r="R142" s="19"/>
      <c r="S142" s="19"/>
      <c r="T142" s="19"/>
    </row>
    <row r="143" spans="1:20" s="3" customFormat="1" ht="16.5" customHeight="1" x14ac:dyDescent="0.3">
      <c r="A143" s="144">
        <v>1004</v>
      </c>
      <c r="B143" s="144">
        <v>62</v>
      </c>
      <c r="C143" s="136"/>
      <c r="D143" s="956"/>
      <c r="E143" s="963"/>
      <c r="F143" s="989" t="s">
        <v>550</v>
      </c>
      <c r="G143" s="955"/>
      <c r="H143" s="955"/>
      <c r="I143" s="963"/>
      <c r="J143" s="963"/>
      <c r="K143" s="997"/>
      <c r="L143" s="998"/>
      <c r="M143" s="998"/>
      <c r="N143" s="995"/>
      <c r="O143" s="55"/>
      <c r="P143" s="1"/>
      <c r="R143" s="19"/>
      <c r="S143" s="19"/>
      <c r="T143" s="19"/>
    </row>
    <row r="144" spans="1:20" s="3" customFormat="1" ht="16.5" customHeight="1" x14ac:dyDescent="0.3">
      <c r="A144" s="144"/>
      <c r="B144" s="144"/>
      <c r="C144" s="136"/>
      <c r="D144" s="956"/>
      <c r="E144" s="963"/>
      <c r="F144" s="955"/>
      <c r="G144" s="986" t="s">
        <v>179</v>
      </c>
      <c r="H144" s="955"/>
      <c r="I144" s="963"/>
      <c r="J144" s="963"/>
      <c r="K144" s="997">
        <v>0</v>
      </c>
      <c r="L144" s="998"/>
      <c r="M144" s="998">
        <v>0</v>
      </c>
      <c r="N144" s="995"/>
      <c r="O144" s="55"/>
      <c r="P144" s="1"/>
      <c r="R144" s="19"/>
      <c r="S144" s="19"/>
      <c r="T144" s="19"/>
    </row>
    <row r="145" spans="1:20" s="3" customFormat="1" ht="16.5" customHeight="1" x14ac:dyDescent="0.3">
      <c r="A145" s="144"/>
      <c r="B145" s="144"/>
      <c r="C145" s="136"/>
      <c r="D145" s="956"/>
      <c r="E145" s="963"/>
      <c r="F145" s="955"/>
      <c r="G145" s="986" t="s">
        <v>262</v>
      </c>
      <c r="H145" s="955"/>
      <c r="I145" s="963"/>
      <c r="J145" s="963"/>
      <c r="K145" s="997">
        <v>266</v>
      </c>
      <c r="L145" s="998"/>
      <c r="M145" s="998">
        <v>213</v>
      </c>
      <c r="N145" s="995"/>
      <c r="O145" s="55"/>
      <c r="P145" s="1"/>
      <c r="R145" s="19"/>
      <c r="S145" s="19"/>
      <c r="T145" s="19"/>
    </row>
    <row r="146" spans="1:20" s="3" customFormat="1" ht="16.5" customHeight="1" x14ac:dyDescent="0.3">
      <c r="A146" s="144"/>
      <c r="B146" s="144"/>
      <c r="C146" s="136"/>
      <c r="D146" s="956"/>
      <c r="E146" s="963"/>
      <c r="F146" s="955"/>
      <c r="G146" s="986" t="s">
        <v>348</v>
      </c>
      <c r="H146" s="955"/>
      <c r="I146" s="963"/>
      <c r="J146" s="963"/>
      <c r="K146" s="997">
        <v>114</v>
      </c>
      <c r="L146" s="998"/>
      <c r="M146" s="998">
        <v>91</v>
      </c>
      <c r="N146" s="955"/>
      <c r="O146" s="1"/>
      <c r="P146" s="1"/>
      <c r="R146" s="19"/>
      <c r="S146" s="19"/>
      <c r="T146" s="19"/>
    </row>
    <row r="147" spans="1:20" s="3" customFormat="1" ht="16.5" customHeight="1" x14ac:dyDescent="0.3">
      <c r="A147" s="144"/>
      <c r="B147" s="144"/>
      <c r="C147" s="136"/>
      <c r="D147" s="956"/>
      <c r="E147" s="963"/>
      <c r="F147" s="955"/>
      <c r="G147" s="986" t="s">
        <v>577</v>
      </c>
      <c r="H147" s="955"/>
      <c r="I147" s="963"/>
      <c r="J147" s="963"/>
      <c r="K147" s="997">
        <v>16</v>
      </c>
      <c r="L147" s="998"/>
      <c r="M147" s="998">
        <v>13</v>
      </c>
      <c r="N147" s="955"/>
      <c r="O147" s="1"/>
      <c r="P147" s="1"/>
      <c r="R147" s="19"/>
      <c r="S147" s="19"/>
      <c r="T147" s="19"/>
    </row>
    <row r="148" spans="1:20" s="3" customFormat="1" ht="16.5" customHeight="1" x14ac:dyDescent="0.3">
      <c r="A148" s="144"/>
      <c r="B148" s="144"/>
      <c r="C148" s="136"/>
      <c r="D148" s="956"/>
      <c r="E148" s="963"/>
      <c r="F148" s="955"/>
      <c r="G148" s="986" t="s">
        <v>301</v>
      </c>
      <c r="H148" s="955"/>
      <c r="I148" s="963"/>
      <c r="J148" s="963"/>
      <c r="K148" s="997">
        <v>33</v>
      </c>
      <c r="L148" s="998"/>
      <c r="M148" s="998">
        <v>26</v>
      </c>
      <c r="N148" s="955"/>
      <c r="O148" s="1"/>
      <c r="P148" s="1"/>
      <c r="R148" s="19"/>
      <c r="S148" s="19"/>
      <c r="T148" s="19"/>
    </row>
    <row r="149" spans="1:20" s="3" customFormat="1" ht="16.5" customHeight="1" x14ac:dyDescent="0.3">
      <c r="A149" s="144"/>
      <c r="B149" s="144"/>
      <c r="C149" s="136"/>
      <c r="D149" s="956"/>
      <c r="E149" s="963"/>
      <c r="F149" s="955"/>
      <c r="G149" s="986" t="s">
        <v>102</v>
      </c>
      <c r="H149" s="955"/>
      <c r="I149" s="963"/>
      <c r="J149" s="963"/>
      <c r="K149" s="997">
        <v>20</v>
      </c>
      <c r="L149" s="998"/>
      <c r="M149" s="998">
        <v>16</v>
      </c>
      <c r="N149" s="955"/>
      <c r="O149" s="1"/>
      <c r="P149" s="1"/>
      <c r="R149" s="19"/>
      <c r="S149" s="19"/>
      <c r="T149" s="19"/>
    </row>
    <row r="150" spans="1:20" s="3" customFormat="1" ht="16.5" customHeight="1" x14ac:dyDescent="0.3">
      <c r="A150" s="144"/>
      <c r="B150" s="144"/>
      <c r="C150" s="136"/>
      <c r="D150" s="963"/>
      <c r="E150" s="963"/>
      <c r="F150" s="955"/>
      <c r="G150" s="956" t="s">
        <v>103</v>
      </c>
      <c r="H150" s="955"/>
      <c r="I150" s="963"/>
      <c r="J150" s="963"/>
      <c r="K150" s="1021">
        <f>SUM(K144:K149)</f>
        <v>449</v>
      </c>
      <c r="L150" s="1022"/>
      <c r="M150" s="1021">
        <f>SUM(M144:M149)</f>
        <v>359</v>
      </c>
      <c r="N150" s="955"/>
      <c r="O150" s="1"/>
      <c r="P150" s="1"/>
      <c r="R150" s="19"/>
      <c r="S150" s="19"/>
      <c r="T150" s="19"/>
    </row>
    <row r="151" spans="1:20" s="3" customFormat="1" ht="7.5" customHeight="1" x14ac:dyDescent="0.3">
      <c r="A151" s="144"/>
      <c r="B151" s="144"/>
      <c r="C151" s="136"/>
      <c r="D151" s="963"/>
      <c r="E151" s="963"/>
      <c r="F151" s="955"/>
      <c r="G151" s="963"/>
      <c r="H151" s="1023"/>
      <c r="I151" s="963"/>
      <c r="J151" s="963"/>
      <c r="K151" s="982"/>
      <c r="L151" s="983"/>
      <c r="M151" s="998"/>
      <c r="N151" s="955"/>
      <c r="O151" s="1"/>
      <c r="P151" s="1"/>
      <c r="R151" s="19"/>
      <c r="S151" s="19"/>
      <c r="T151" s="19"/>
    </row>
    <row r="152" spans="1:20" s="3" customFormat="1" ht="16.5" customHeight="1" x14ac:dyDescent="0.3">
      <c r="A152" s="144"/>
      <c r="B152" s="144"/>
      <c r="C152" s="136"/>
      <c r="D152" s="963"/>
      <c r="E152" s="963"/>
      <c r="F152" s="989" t="s">
        <v>395</v>
      </c>
      <c r="G152" s="963"/>
      <c r="H152" s="955"/>
      <c r="I152" s="963"/>
      <c r="J152" s="963"/>
      <c r="K152" s="1024">
        <f>K141+K150</f>
        <v>2011</v>
      </c>
      <c r="L152" s="983"/>
      <c r="M152" s="1024">
        <f>M141+M150</f>
        <v>1613</v>
      </c>
      <c r="N152" s="955"/>
      <c r="O152" s="1"/>
      <c r="P152" s="1"/>
      <c r="R152" s="19"/>
      <c r="S152" s="19"/>
      <c r="T152" s="19"/>
    </row>
    <row r="153" spans="1:20" s="246" customFormat="1" ht="7.5" customHeight="1" thickBot="1" x14ac:dyDescent="0.35">
      <c r="A153" s="237"/>
      <c r="B153" s="237"/>
      <c r="C153" s="136"/>
      <c r="D153" s="963"/>
      <c r="E153" s="963"/>
      <c r="F153" s="989"/>
      <c r="G153" s="963"/>
      <c r="H153" s="955"/>
      <c r="I153" s="963"/>
      <c r="J153" s="963"/>
      <c r="K153" s="1005"/>
      <c r="L153" s="983"/>
      <c r="M153" s="1005"/>
      <c r="N153" s="955"/>
      <c r="O153" s="1"/>
      <c r="P153" s="1"/>
      <c r="R153" s="19"/>
      <c r="S153" s="19"/>
      <c r="T153" s="19"/>
    </row>
    <row r="154" spans="1:20" s="246" customFormat="1" ht="15" x14ac:dyDescent="0.3">
      <c r="A154" s="637"/>
      <c r="B154" s="637"/>
      <c r="C154" s="136"/>
      <c r="D154" s="963"/>
      <c r="E154" s="963"/>
      <c r="F154" s="974" t="s">
        <v>1546</v>
      </c>
      <c r="G154" s="975"/>
      <c r="H154" s="975"/>
      <c r="I154" s="975"/>
      <c r="J154" s="975"/>
      <c r="K154" s="975"/>
      <c r="L154" s="975"/>
      <c r="M154" s="976"/>
      <c r="N154" s="955"/>
      <c r="P154" s="1"/>
      <c r="R154" s="19"/>
      <c r="S154" s="19"/>
      <c r="T154" s="19"/>
    </row>
    <row r="155" spans="1:20" s="246" customFormat="1" ht="47.25" customHeight="1" x14ac:dyDescent="0.3">
      <c r="A155" s="637"/>
      <c r="B155" s="637"/>
      <c r="C155" s="136"/>
      <c r="D155" s="963"/>
      <c r="E155" s="963"/>
      <c r="F155" s="2151" t="s">
        <v>1766</v>
      </c>
      <c r="G155" s="2152"/>
      <c r="H155" s="2152"/>
      <c r="I155" s="2152"/>
      <c r="J155" s="2152"/>
      <c r="K155" s="2152"/>
      <c r="L155" s="2152"/>
      <c r="M155" s="2153"/>
      <c r="N155" s="955"/>
      <c r="P155" s="1"/>
      <c r="R155" s="19"/>
      <c r="S155" s="19"/>
      <c r="T155" s="19"/>
    </row>
    <row r="156" spans="1:20" s="246" customFormat="1" ht="9.75" customHeight="1" thickBot="1" x14ac:dyDescent="0.35">
      <c r="A156" s="237"/>
      <c r="B156" s="237"/>
      <c r="C156" s="136"/>
      <c r="D156" s="963"/>
      <c r="E156" s="963"/>
      <c r="F156" s="2135"/>
      <c r="G156" s="2136"/>
      <c r="H156" s="2136"/>
      <c r="I156" s="2136"/>
      <c r="J156" s="2136"/>
      <c r="K156" s="2136"/>
      <c r="L156" s="2136"/>
      <c r="M156" s="2137"/>
      <c r="N156" s="955"/>
      <c r="P156" s="301"/>
      <c r="R156" s="19"/>
      <c r="S156" s="19"/>
      <c r="T156" s="19"/>
    </row>
    <row r="157" spans="1:20" s="3" customFormat="1" ht="15" x14ac:dyDescent="0.3">
      <c r="A157" s="144"/>
      <c r="B157" s="144"/>
      <c r="C157" s="136"/>
      <c r="D157" s="963"/>
      <c r="E157" s="963"/>
      <c r="F157" s="955"/>
      <c r="G157" s="963"/>
      <c r="H157" s="1023"/>
      <c r="I157" s="963"/>
      <c r="J157" s="963"/>
      <c r="K157" s="977"/>
      <c r="L157" s="968"/>
      <c r="M157" s="1017"/>
      <c r="N157" s="955"/>
      <c r="O157" s="1"/>
      <c r="P157" s="1"/>
      <c r="R157" s="19"/>
      <c r="S157" s="19"/>
      <c r="T157" s="19"/>
    </row>
    <row r="158" spans="1:20" s="3" customFormat="1" ht="17.25" customHeight="1" x14ac:dyDescent="0.3">
      <c r="A158" s="156">
        <v>118</v>
      </c>
      <c r="B158" s="144" t="s">
        <v>682</v>
      </c>
      <c r="C158" s="796"/>
      <c r="D158" s="961" t="s">
        <v>286</v>
      </c>
      <c r="E158" s="961">
        <f>E130+0.1</f>
        <v>2.6000000000000005</v>
      </c>
      <c r="F158" s="956" t="s">
        <v>567</v>
      </c>
      <c r="G158" s="966"/>
      <c r="H158" s="955"/>
      <c r="I158" s="952"/>
      <c r="J158" s="952"/>
      <c r="K158" s="968"/>
      <c r="L158" s="968"/>
      <c r="M158" s="968"/>
      <c r="N158" s="955"/>
      <c r="O158" s="1"/>
      <c r="P158" s="1"/>
      <c r="R158" s="19"/>
      <c r="S158" s="19"/>
      <c r="T158" s="19"/>
    </row>
    <row r="159" spans="1:20" s="246" customFormat="1" ht="16.5" customHeight="1" x14ac:dyDescent="0.3">
      <c r="A159" s="237">
        <v>118</v>
      </c>
      <c r="B159" s="237" t="s">
        <v>217</v>
      </c>
      <c r="C159" s="136"/>
      <c r="D159" s="961"/>
      <c r="E159" s="961"/>
      <c r="F159" s="986" t="s">
        <v>731</v>
      </c>
      <c r="G159" s="961"/>
      <c r="H159" s="955"/>
      <c r="I159" s="952"/>
      <c r="J159" s="952"/>
      <c r="K159" s="982">
        <f>1264</f>
        <v>1264</v>
      </c>
      <c r="L159" s="983"/>
      <c r="M159" s="982">
        <f>1179</f>
        <v>1179</v>
      </c>
      <c r="N159" s="955"/>
      <c r="O159" s="1"/>
      <c r="P159" s="1"/>
      <c r="R159" s="19"/>
      <c r="S159" s="19"/>
      <c r="T159" s="19"/>
    </row>
    <row r="160" spans="1:20" s="246" customFormat="1" ht="16.5" customHeight="1" x14ac:dyDescent="0.3">
      <c r="A160" s="237">
        <v>118</v>
      </c>
      <c r="B160" s="237" t="s">
        <v>217</v>
      </c>
      <c r="C160" s="136"/>
      <c r="D160" s="961"/>
      <c r="E160" s="961"/>
      <c r="F160" s="986" t="s">
        <v>263</v>
      </c>
      <c r="G160" s="961"/>
      <c r="H160" s="955"/>
      <c r="I160" s="952"/>
      <c r="J160" s="952"/>
      <c r="K160" s="982">
        <v>940</v>
      </c>
      <c r="L160" s="983"/>
      <c r="M160" s="982">
        <v>863</v>
      </c>
      <c r="N160" s="955"/>
      <c r="O160" s="1"/>
      <c r="P160" s="1"/>
      <c r="R160" s="19"/>
      <c r="S160" s="19"/>
      <c r="T160" s="19"/>
    </row>
    <row r="161" spans="1:20" s="3" customFormat="1" ht="15" x14ac:dyDescent="0.3">
      <c r="A161" s="237">
        <v>119</v>
      </c>
      <c r="B161" s="237" t="s">
        <v>217</v>
      </c>
      <c r="C161" s="136"/>
      <c r="D161" s="963"/>
      <c r="E161" s="963"/>
      <c r="F161" s="986" t="s">
        <v>770</v>
      </c>
      <c r="G161" s="963"/>
      <c r="H161" s="955"/>
      <c r="I161" s="955"/>
      <c r="J161" s="955"/>
      <c r="K161" s="982">
        <v>0</v>
      </c>
      <c r="L161" s="983"/>
      <c r="M161" s="982">
        <v>0</v>
      </c>
      <c r="N161" s="955"/>
      <c r="O161" s="1"/>
      <c r="P161" s="1"/>
      <c r="R161" s="19"/>
      <c r="S161" s="19"/>
      <c r="T161" s="19"/>
    </row>
    <row r="162" spans="1:20" s="3" customFormat="1" ht="16.5" customHeight="1" x14ac:dyDescent="0.3">
      <c r="A162" s="144"/>
      <c r="B162" s="144"/>
      <c r="C162" s="136"/>
      <c r="D162" s="963"/>
      <c r="E162" s="963"/>
      <c r="F162" s="989" t="s">
        <v>103</v>
      </c>
      <c r="G162" s="963"/>
      <c r="H162" s="955"/>
      <c r="I162" s="955"/>
      <c r="J162" s="955"/>
      <c r="K162" s="984">
        <f>SUM(K159:K161)</f>
        <v>2204</v>
      </c>
      <c r="L162" s="985"/>
      <c r="M162" s="984">
        <f>SUM(M159:M161)</f>
        <v>2042</v>
      </c>
      <c r="N162" s="955"/>
      <c r="O162" s="1"/>
      <c r="P162" s="1"/>
      <c r="R162" s="19"/>
      <c r="S162" s="19"/>
      <c r="T162" s="19"/>
    </row>
    <row r="163" spans="1:20" s="3" customFormat="1" ht="6" customHeight="1" thickBot="1" x14ac:dyDescent="0.35">
      <c r="A163" s="144"/>
      <c r="B163" s="144"/>
      <c r="C163" s="136"/>
      <c r="D163" s="963"/>
      <c r="E163" s="963"/>
      <c r="F163" s="955"/>
      <c r="G163" s="963"/>
      <c r="H163" s="1023"/>
      <c r="I163" s="955"/>
      <c r="J163" s="955"/>
      <c r="K163" s="982"/>
      <c r="L163" s="983"/>
      <c r="M163" s="982"/>
      <c r="N163" s="955"/>
      <c r="O163" s="1"/>
      <c r="P163" s="1"/>
      <c r="R163" s="19"/>
      <c r="S163" s="19"/>
      <c r="T163" s="19"/>
    </row>
    <row r="164" spans="1:20" s="246" customFormat="1" ht="16.5" customHeight="1" x14ac:dyDescent="0.3">
      <c r="A164" s="237"/>
      <c r="B164" s="237"/>
      <c r="C164" s="136"/>
      <c r="D164" s="963"/>
      <c r="E164" s="963"/>
      <c r="F164" s="1025" t="s">
        <v>1133</v>
      </c>
      <c r="G164" s="1026"/>
      <c r="H164" s="1026"/>
      <c r="I164" s="1026"/>
      <c r="J164" s="1026"/>
      <c r="K164" s="1026"/>
      <c r="L164" s="1026"/>
      <c r="M164" s="1027"/>
      <c r="N164" s="955"/>
      <c r="O164" s="1"/>
      <c r="P164" s="1"/>
      <c r="R164" s="19"/>
      <c r="S164" s="19"/>
      <c r="T164" s="19"/>
    </row>
    <row r="165" spans="1:20" s="246" customFormat="1" ht="5.25" customHeight="1" x14ac:dyDescent="0.3">
      <c r="A165" s="237"/>
      <c r="B165" s="237"/>
      <c r="C165" s="136"/>
      <c r="D165" s="963"/>
      <c r="E165" s="963"/>
      <c r="F165" s="1028"/>
      <c r="G165" s="1029"/>
      <c r="H165" s="1029"/>
      <c r="I165" s="1029"/>
      <c r="J165" s="1029"/>
      <c r="K165" s="1029"/>
      <c r="L165" s="1029"/>
      <c r="M165" s="1030"/>
      <c r="N165" s="955"/>
      <c r="O165" s="1"/>
      <c r="P165" s="1"/>
      <c r="R165" s="19"/>
      <c r="S165" s="19"/>
      <c r="T165" s="19"/>
    </row>
    <row r="166" spans="1:20" s="246" customFormat="1" ht="16.5" customHeight="1" x14ac:dyDescent="0.3">
      <c r="A166" s="237"/>
      <c r="B166" s="237"/>
      <c r="C166" s="136"/>
      <c r="D166" s="963"/>
      <c r="E166" s="963"/>
      <c r="F166" s="1028" t="s">
        <v>1060</v>
      </c>
      <c r="G166" s="1029"/>
      <c r="H166" s="1029"/>
      <c r="I166" s="1029"/>
      <c r="J166" s="1029"/>
      <c r="K166" s="1029"/>
      <c r="L166" s="1029"/>
      <c r="M166" s="1030"/>
      <c r="N166" s="955"/>
      <c r="O166" s="1"/>
      <c r="P166" s="1"/>
      <c r="R166" s="19"/>
      <c r="S166" s="19"/>
      <c r="T166" s="19"/>
    </row>
    <row r="167" spans="1:20" s="246" customFormat="1" ht="16.5" customHeight="1" thickBot="1" x14ac:dyDescent="0.35">
      <c r="A167" s="256">
        <v>118</v>
      </c>
      <c r="B167" s="256" t="s">
        <v>682</v>
      </c>
      <c r="C167" s="136"/>
      <c r="D167" s="963"/>
      <c r="E167" s="963"/>
      <c r="F167" s="1031" t="s">
        <v>373</v>
      </c>
      <c r="G167" s="1032"/>
      <c r="H167" s="1032"/>
      <c r="I167" s="1032"/>
      <c r="J167" s="1032"/>
      <c r="K167" s="1032"/>
      <c r="L167" s="1032"/>
      <c r="M167" s="1033"/>
      <c r="N167" s="955"/>
      <c r="O167" s="1"/>
      <c r="P167" s="1"/>
      <c r="R167" s="19"/>
      <c r="S167" s="19"/>
      <c r="T167" s="19"/>
    </row>
    <row r="168" spans="1:20" s="246" customFormat="1" ht="15" x14ac:dyDescent="0.3">
      <c r="A168" s="237"/>
      <c r="B168" s="237"/>
      <c r="C168" s="136"/>
      <c r="D168" s="963"/>
      <c r="E168" s="963"/>
      <c r="F168" s="955"/>
      <c r="G168" s="963"/>
      <c r="H168" s="1023"/>
      <c r="I168" s="955"/>
      <c r="J168" s="955"/>
      <c r="K168" s="982"/>
      <c r="L168" s="983"/>
      <c r="M168" s="982"/>
      <c r="N168" s="955"/>
      <c r="O168" s="1"/>
      <c r="P168" s="1"/>
      <c r="R168" s="19"/>
      <c r="S168" s="19"/>
      <c r="T168" s="19"/>
    </row>
    <row r="169" spans="1:20" s="246" customFormat="1" ht="15" x14ac:dyDescent="0.3">
      <c r="A169" s="237"/>
      <c r="B169" s="237"/>
      <c r="C169" s="136"/>
      <c r="D169" s="963"/>
      <c r="E169" s="963"/>
      <c r="F169" s="955"/>
      <c r="G169" s="963"/>
      <c r="H169" s="1023"/>
      <c r="I169" s="955"/>
      <c r="J169" s="955"/>
      <c r="K169" s="982"/>
      <c r="L169" s="983"/>
      <c r="M169" s="982"/>
      <c r="N169" s="955"/>
      <c r="O169" s="1"/>
      <c r="P169" s="1"/>
      <c r="R169" s="19"/>
      <c r="S169" s="19"/>
      <c r="T169" s="19"/>
    </row>
    <row r="170" spans="1:20" s="3" customFormat="1" ht="16.5" customHeight="1" x14ac:dyDescent="0.25">
      <c r="A170" s="144">
        <v>118</v>
      </c>
      <c r="B170" s="144" t="s">
        <v>216</v>
      </c>
      <c r="C170" s="817"/>
      <c r="D170" s="961" t="s">
        <v>286</v>
      </c>
      <c r="E170" s="961">
        <f>E158+0.1</f>
        <v>2.7000000000000006</v>
      </c>
      <c r="F170" s="961" t="s">
        <v>214</v>
      </c>
      <c r="G170" s="955"/>
      <c r="H170" s="955"/>
      <c r="I170" s="952"/>
      <c r="J170" s="952"/>
      <c r="K170" s="982"/>
      <c r="L170" s="983"/>
      <c r="M170" s="982"/>
      <c r="N170" s="955"/>
      <c r="O170" s="1"/>
      <c r="P170" s="1"/>
      <c r="R170" s="19"/>
      <c r="S170" s="19"/>
      <c r="T170" s="19"/>
    </row>
    <row r="171" spans="1:20" s="3" customFormat="1" ht="16.5" customHeight="1" x14ac:dyDescent="0.3">
      <c r="A171" s="144">
        <v>140</v>
      </c>
      <c r="B171" s="144" t="s">
        <v>218</v>
      </c>
      <c r="C171" s="136"/>
      <c r="D171" s="961"/>
      <c r="E171" s="961"/>
      <c r="F171" s="986" t="s">
        <v>532</v>
      </c>
      <c r="G171" s="955"/>
      <c r="H171" s="955"/>
      <c r="I171" s="952"/>
      <c r="J171" s="952"/>
      <c r="K171" s="982">
        <v>800</v>
      </c>
      <c r="L171" s="983"/>
      <c r="M171" s="982">
        <v>1000</v>
      </c>
      <c r="N171" s="955"/>
      <c r="O171" s="1"/>
      <c r="P171" s="1"/>
      <c r="R171" s="19"/>
      <c r="S171" s="19"/>
      <c r="T171" s="19"/>
    </row>
    <row r="172" spans="1:20" ht="15" x14ac:dyDescent="0.3">
      <c r="A172" s="144"/>
      <c r="B172" s="144"/>
      <c r="C172" s="136"/>
      <c r="D172" s="961"/>
      <c r="E172" s="961"/>
      <c r="F172" s="986" t="s">
        <v>1664</v>
      </c>
      <c r="G172" s="963"/>
      <c r="H172" s="955"/>
      <c r="I172" s="952"/>
      <c r="J172" s="952"/>
      <c r="K172" s="982">
        <v>0</v>
      </c>
      <c r="L172" s="983"/>
      <c r="M172" s="982">
        <v>0</v>
      </c>
      <c r="N172" s="955"/>
    </row>
    <row r="173" spans="1:20" ht="15" x14ac:dyDescent="0.3">
      <c r="A173" s="237"/>
      <c r="B173" s="237"/>
      <c r="C173" s="136"/>
      <c r="D173" s="961"/>
      <c r="E173" s="961"/>
      <c r="F173" s="986" t="s">
        <v>1134</v>
      </c>
      <c r="G173" s="963"/>
      <c r="H173" s="955"/>
      <c r="I173" s="952"/>
      <c r="J173" s="952"/>
      <c r="K173" s="982">
        <v>0</v>
      </c>
      <c r="L173" s="983"/>
      <c r="M173" s="982">
        <v>0</v>
      </c>
      <c r="N173" s="955"/>
    </row>
    <row r="174" spans="1:20" s="3" customFormat="1" ht="16.5" customHeight="1" x14ac:dyDescent="0.3">
      <c r="A174" s="144">
        <v>136</v>
      </c>
      <c r="B174" s="144" t="s">
        <v>167</v>
      </c>
      <c r="C174" s="136"/>
      <c r="D174" s="961"/>
      <c r="E174" s="961"/>
      <c r="F174" s="1034" t="s">
        <v>566</v>
      </c>
      <c r="G174" s="955"/>
      <c r="H174" s="955"/>
      <c r="I174" s="952"/>
      <c r="J174" s="952"/>
      <c r="K174" s="982">
        <v>0</v>
      </c>
      <c r="L174" s="983"/>
      <c r="M174" s="982">
        <v>0</v>
      </c>
      <c r="N174" s="955"/>
      <c r="O174" s="1"/>
      <c r="P174" s="1"/>
      <c r="R174" s="19"/>
      <c r="S174" s="19"/>
      <c r="T174" s="19"/>
    </row>
    <row r="175" spans="1:20" s="246" customFormat="1" ht="16.5" customHeight="1" x14ac:dyDescent="0.3">
      <c r="A175" s="237">
        <v>1058</v>
      </c>
      <c r="B175" s="237" t="s">
        <v>1590</v>
      </c>
      <c r="C175" s="136"/>
      <c r="D175" s="956"/>
      <c r="E175" s="963"/>
      <c r="F175" s="986" t="s">
        <v>1587</v>
      </c>
      <c r="G175" s="955"/>
      <c r="H175" s="955"/>
      <c r="I175" s="963"/>
      <c r="J175" s="963"/>
      <c r="K175" s="982">
        <v>0</v>
      </c>
      <c r="L175" s="983"/>
      <c r="M175" s="982">
        <v>0</v>
      </c>
      <c r="N175" s="955"/>
      <c r="O175" s="301" t="s">
        <v>1589</v>
      </c>
      <c r="P175" s="1"/>
      <c r="R175" s="19"/>
      <c r="S175" s="19"/>
      <c r="T175" s="19"/>
    </row>
    <row r="176" spans="1:20" s="3" customFormat="1" ht="16.5" customHeight="1" x14ac:dyDescent="0.3">
      <c r="A176" s="144"/>
      <c r="B176" s="144"/>
      <c r="C176" s="136"/>
      <c r="D176" s="961"/>
      <c r="E176" s="961"/>
      <c r="F176" s="986" t="s">
        <v>102</v>
      </c>
      <c r="G176" s="955"/>
      <c r="H176" s="955"/>
      <c r="I176" s="955"/>
      <c r="J176" s="955"/>
      <c r="K176" s="982">
        <v>200</v>
      </c>
      <c r="L176" s="983"/>
      <c r="M176" s="982">
        <v>500</v>
      </c>
      <c r="N176" s="955"/>
      <c r="O176" s="1"/>
      <c r="P176" s="1"/>
      <c r="R176" s="19"/>
      <c r="S176" s="19"/>
      <c r="T176" s="19"/>
    </row>
    <row r="177" spans="1:23" s="3" customFormat="1" ht="16.5" customHeight="1" x14ac:dyDescent="0.3">
      <c r="A177" s="144"/>
      <c r="B177" s="144"/>
      <c r="C177" s="136"/>
      <c r="D177" s="963"/>
      <c r="E177" s="963"/>
      <c r="F177" s="1035" t="s">
        <v>410</v>
      </c>
      <c r="G177" s="1036"/>
      <c r="H177" s="1036"/>
      <c r="I177" s="1036"/>
      <c r="J177" s="1036"/>
      <c r="K177" s="1037">
        <v>4000</v>
      </c>
      <c r="L177" s="1038"/>
      <c r="M177" s="1037">
        <v>0</v>
      </c>
      <c r="N177" s="955"/>
      <c r="O177" s="1"/>
      <c r="P177" s="1"/>
      <c r="R177" s="19"/>
      <c r="S177" s="19"/>
      <c r="T177" s="19"/>
    </row>
    <row r="178" spans="1:23" s="3" customFormat="1" ht="15" x14ac:dyDescent="0.3">
      <c r="A178" s="144"/>
      <c r="B178" s="144"/>
      <c r="C178" s="136"/>
      <c r="D178" s="963"/>
      <c r="E178" s="963"/>
      <c r="F178" s="989" t="s">
        <v>396</v>
      </c>
      <c r="G178" s="955"/>
      <c r="H178" s="955"/>
      <c r="I178" s="955"/>
      <c r="J178" s="955"/>
      <c r="K178" s="984">
        <f>SUM(K171:K177)</f>
        <v>5000</v>
      </c>
      <c r="L178" s="1022"/>
      <c r="M178" s="1021">
        <f>SUM(M171:M177)</f>
        <v>1500</v>
      </c>
      <c r="N178" s="955"/>
      <c r="O178" s="1"/>
      <c r="P178" s="1"/>
      <c r="R178" s="19"/>
      <c r="S178" s="19"/>
      <c r="T178" s="19"/>
    </row>
    <row r="179" spans="1:23" s="246" customFormat="1" ht="15" x14ac:dyDescent="0.3">
      <c r="A179" s="237"/>
      <c r="B179" s="237"/>
      <c r="C179" s="136"/>
      <c r="D179" s="963"/>
      <c r="E179" s="963"/>
      <c r="F179" s="989"/>
      <c r="G179" s="955"/>
      <c r="H179" s="955"/>
      <c r="I179" s="955"/>
      <c r="J179" s="955"/>
      <c r="K179" s="985"/>
      <c r="L179" s="1022"/>
      <c r="M179" s="1022"/>
      <c r="N179" s="955"/>
      <c r="O179" s="1"/>
      <c r="P179" s="1"/>
      <c r="R179" s="19"/>
      <c r="S179" s="19"/>
      <c r="T179" s="19"/>
    </row>
    <row r="180" spans="1:23" s="246" customFormat="1" ht="15" x14ac:dyDescent="0.3">
      <c r="A180" s="237">
        <v>15</v>
      </c>
      <c r="B180" s="237">
        <v>114</v>
      </c>
      <c r="C180" s="136"/>
      <c r="D180" s="1065"/>
      <c r="E180" s="1065"/>
      <c r="F180" s="1984" t="s">
        <v>214</v>
      </c>
      <c r="G180" s="1136"/>
      <c r="H180" s="1136"/>
      <c r="I180" s="1136"/>
      <c r="J180" s="1136"/>
      <c r="K180" s="1985"/>
      <c r="L180" s="1985"/>
      <c r="M180" s="1985"/>
      <c r="N180" s="955"/>
      <c r="P180" s="1"/>
      <c r="R180" s="19"/>
      <c r="S180" s="19"/>
      <c r="T180" s="19"/>
    </row>
    <row r="181" spans="1:23" s="246" customFormat="1" ht="15" x14ac:dyDescent="0.3">
      <c r="A181" s="237"/>
      <c r="B181" s="237"/>
      <c r="C181" s="136"/>
      <c r="D181" s="1065"/>
      <c r="E181" s="1065"/>
      <c r="F181" s="1986" t="s">
        <v>2003</v>
      </c>
      <c r="G181" s="1136"/>
      <c r="H181" s="1136"/>
      <c r="I181" s="1136"/>
      <c r="J181" s="1136"/>
      <c r="K181" s="1987">
        <v>6000</v>
      </c>
      <c r="L181" s="1942"/>
      <c r="M181" s="1987">
        <v>5700</v>
      </c>
      <c r="N181" s="955"/>
      <c r="P181" s="1"/>
      <c r="R181" s="19"/>
      <c r="S181" s="19"/>
      <c r="T181" s="19"/>
    </row>
    <row r="182" spans="1:23" s="246" customFormat="1" ht="15" x14ac:dyDescent="0.3">
      <c r="A182" s="237"/>
      <c r="B182" s="237"/>
      <c r="C182" s="136"/>
      <c r="D182" s="1065"/>
      <c r="E182" s="1065"/>
      <c r="F182" s="1986" t="s">
        <v>2004</v>
      </c>
      <c r="G182" s="1136"/>
      <c r="H182" s="1136"/>
      <c r="I182" s="1136"/>
      <c r="J182" s="1136"/>
      <c r="K182" s="1987">
        <v>1828</v>
      </c>
      <c r="L182" s="1942"/>
      <c r="M182" s="1987">
        <v>1742</v>
      </c>
      <c r="N182" s="955"/>
      <c r="P182" s="1"/>
      <c r="R182" s="19"/>
      <c r="S182" s="19"/>
      <c r="T182" s="19"/>
    </row>
    <row r="183" spans="1:23" s="246" customFormat="1" ht="15" x14ac:dyDescent="0.3">
      <c r="A183" s="237"/>
      <c r="B183" s="237"/>
      <c r="C183" s="136"/>
      <c r="D183" s="1065"/>
      <c r="E183" s="1065"/>
      <c r="F183" s="1984" t="s">
        <v>213</v>
      </c>
      <c r="G183" s="1136"/>
      <c r="H183" s="1136"/>
      <c r="I183" s="1136"/>
      <c r="J183" s="1136"/>
      <c r="K183" s="1988">
        <f>SUM(K181:K182)</f>
        <v>7828</v>
      </c>
      <c r="L183" s="1985"/>
      <c r="M183" s="1988">
        <f>SUM(M181:M182)</f>
        <v>7442</v>
      </c>
      <c r="N183" s="955"/>
      <c r="P183" s="1"/>
      <c r="R183" s="19"/>
      <c r="S183" s="19"/>
      <c r="T183" s="19"/>
    </row>
    <row r="184" spans="1:23" s="246" customFormat="1" ht="12" customHeight="1" thickBot="1" x14ac:dyDescent="0.35">
      <c r="A184" s="237"/>
      <c r="B184" s="237"/>
      <c r="C184" s="136"/>
      <c r="D184" s="963"/>
      <c r="E184" s="963"/>
      <c r="F184" s="955"/>
      <c r="G184" s="963"/>
      <c r="H184" s="1039"/>
      <c r="I184" s="955"/>
      <c r="J184" s="955"/>
      <c r="K184" s="1022"/>
      <c r="L184" s="1022"/>
      <c r="M184" s="1022"/>
      <c r="N184" s="955"/>
      <c r="O184" s="1"/>
      <c r="P184" s="1"/>
      <c r="R184" s="19"/>
      <c r="S184" s="19"/>
      <c r="T184" s="19"/>
    </row>
    <row r="185" spans="1:23" s="246" customFormat="1" ht="16.5" customHeight="1" x14ac:dyDescent="0.3">
      <c r="A185" s="237"/>
      <c r="B185" s="237"/>
      <c r="C185" s="136"/>
      <c r="D185" s="963"/>
      <c r="E185" s="963"/>
      <c r="F185" s="1025" t="s">
        <v>1546</v>
      </c>
      <c r="G185" s="1026"/>
      <c r="H185" s="1026"/>
      <c r="I185" s="1026"/>
      <c r="J185" s="1026"/>
      <c r="K185" s="1026"/>
      <c r="L185" s="1026"/>
      <c r="M185" s="1027"/>
      <c r="N185" s="955"/>
      <c r="O185" s="1"/>
      <c r="P185" s="1"/>
      <c r="R185" s="19"/>
      <c r="S185" s="19"/>
      <c r="T185" s="19"/>
    </row>
    <row r="186" spans="1:23" s="246" customFormat="1" ht="5.25" customHeight="1" x14ac:dyDescent="0.3">
      <c r="A186" s="237"/>
      <c r="B186" s="237"/>
      <c r="C186" s="136"/>
      <c r="D186" s="963"/>
      <c r="E186" s="963"/>
      <c r="F186" s="1028"/>
      <c r="G186" s="1029"/>
      <c r="H186" s="1029"/>
      <c r="I186" s="1029"/>
      <c r="J186" s="1029"/>
      <c r="K186" s="1029"/>
      <c r="L186" s="1029"/>
      <c r="M186" s="1030"/>
      <c r="N186" s="955"/>
      <c r="O186" s="1"/>
      <c r="P186" s="1"/>
      <c r="R186" s="19"/>
      <c r="S186" s="19"/>
      <c r="T186" s="19"/>
    </row>
    <row r="187" spans="1:23" s="246" customFormat="1" ht="15" x14ac:dyDescent="0.3">
      <c r="A187" s="237"/>
      <c r="B187" s="237"/>
      <c r="C187" s="136"/>
      <c r="D187" s="963"/>
      <c r="E187" s="963"/>
      <c r="F187" s="1040" t="s">
        <v>532</v>
      </c>
      <c r="G187" s="1041"/>
      <c r="H187" s="1041"/>
      <c r="I187" s="1041"/>
      <c r="J187" s="1041"/>
      <c r="K187" s="1041"/>
      <c r="L187" s="1041"/>
      <c r="M187" s="1042"/>
      <c r="N187" s="955"/>
      <c r="O187" s="1"/>
      <c r="P187" s="1"/>
      <c r="R187" s="19"/>
      <c r="S187" s="19"/>
      <c r="T187" s="19"/>
    </row>
    <row r="188" spans="1:23" s="246" customFormat="1" ht="33" customHeight="1" x14ac:dyDescent="0.3">
      <c r="A188" s="237"/>
      <c r="B188" s="237"/>
      <c r="C188" s="136"/>
      <c r="D188" s="963"/>
      <c r="E188" s="963"/>
      <c r="F188" s="2151" t="s">
        <v>1663</v>
      </c>
      <c r="G188" s="2152"/>
      <c r="H188" s="2152"/>
      <c r="I188" s="2152"/>
      <c r="J188" s="2152"/>
      <c r="K188" s="2152"/>
      <c r="L188" s="2152"/>
      <c r="M188" s="2153"/>
      <c r="N188" s="955"/>
      <c r="O188" s="528" t="s">
        <v>989</v>
      </c>
      <c r="P188" s="60"/>
      <c r="Q188" s="60"/>
      <c r="R188" s="60"/>
      <c r="S188" s="60"/>
      <c r="T188" s="60"/>
      <c r="U188" s="60"/>
      <c r="V188" s="60"/>
      <c r="W188" s="60"/>
    </row>
    <row r="189" spans="1:23" s="246" customFormat="1" ht="39.75" customHeight="1" x14ac:dyDescent="0.3">
      <c r="A189" s="237"/>
      <c r="B189" s="237"/>
      <c r="C189" s="136"/>
      <c r="D189" s="963"/>
      <c r="E189" s="963"/>
      <c r="F189" s="2162" t="s">
        <v>1859</v>
      </c>
      <c r="G189" s="2152"/>
      <c r="H189" s="2152"/>
      <c r="I189" s="2152"/>
      <c r="J189" s="2152"/>
      <c r="K189" s="2152"/>
      <c r="L189" s="2152"/>
      <c r="M189" s="2153"/>
      <c r="N189" s="955"/>
      <c r="O189" s="1"/>
      <c r="P189" s="60"/>
      <c r="Q189" s="60"/>
      <c r="R189" s="60"/>
      <c r="S189" s="60"/>
      <c r="T189" s="60"/>
      <c r="U189" s="60"/>
      <c r="V189" s="60"/>
      <c r="W189" s="60"/>
    </row>
    <row r="190" spans="1:23" s="246" customFormat="1" ht="15" x14ac:dyDescent="0.3">
      <c r="A190" s="237"/>
      <c r="B190" s="237"/>
      <c r="C190" s="136"/>
      <c r="D190" s="963"/>
      <c r="E190" s="963"/>
      <c r="F190" s="1040" t="s">
        <v>1665</v>
      </c>
      <c r="G190" s="1041"/>
      <c r="H190" s="1041"/>
      <c r="I190" s="1041"/>
      <c r="J190" s="1041"/>
      <c r="K190" s="1041"/>
      <c r="L190" s="1041"/>
      <c r="M190" s="1042"/>
      <c r="N190" s="955"/>
      <c r="O190" s="528" t="s">
        <v>989</v>
      </c>
      <c r="P190" s="60"/>
      <c r="Q190" s="60"/>
      <c r="R190" s="60"/>
      <c r="S190" s="60"/>
      <c r="T190" s="60"/>
      <c r="U190" s="60"/>
      <c r="V190" s="60"/>
      <c r="W190" s="60"/>
    </row>
    <row r="191" spans="1:23" s="246" customFormat="1" ht="15" x14ac:dyDescent="0.3">
      <c r="A191" s="237"/>
      <c r="B191" s="237"/>
      <c r="C191" s="136"/>
      <c r="D191" s="963"/>
      <c r="E191" s="963"/>
      <c r="F191" s="2151" t="s">
        <v>1666</v>
      </c>
      <c r="G191" s="2152"/>
      <c r="H191" s="2152"/>
      <c r="I191" s="2152"/>
      <c r="J191" s="2152"/>
      <c r="K191" s="2152"/>
      <c r="L191" s="2152"/>
      <c r="M191" s="2153"/>
      <c r="N191" s="955"/>
      <c r="O191" s="1"/>
      <c r="P191" s="60"/>
      <c r="Q191" s="60"/>
      <c r="R191" s="60"/>
      <c r="S191" s="60"/>
      <c r="T191" s="60"/>
      <c r="U191" s="60"/>
      <c r="V191" s="60"/>
      <c r="W191" s="60"/>
    </row>
    <row r="192" spans="1:23" s="246" customFormat="1" ht="7.5" customHeight="1" x14ac:dyDescent="0.3">
      <c r="A192" s="237"/>
      <c r="B192" s="237"/>
      <c r="C192" s="136"/>
      <c r="D192" s="963"/>
      <c r="E192" s="963"/>
      <c r="F192" s="1043"/>
      <c r="G192" s="1041"/>
      <c r="H192" s="1041"/>
      <c r="I192" s="1041"/>
      <c r="J192" s="1041"/>
      <c r="K192" s="1041"/>
      <c r="L192" s="1041"/>
      <c r="M192" s="1042"/>
      <c r="N192" s="955"/>
      <c r="O192" s="1"/>
      <c r="P192" s="60"/>
      <c r="Q192" s="60"/>
      <c r="R192" s="60"/>
      <c r="S192" s="60"/>
      <c r="T192" s="60"/>
      <c r="U192" s="60"/>
      <c r="V192" s="60"/>
      <c r="W192" s="60"/>
    </row>
    <row r="193" spans="1:23" s="246" customFormat="1" ht="16.5" customHeight="1" x14ac:dyDescent="0.3">
      <c r="A193" s="237"/>
      <c r="B193" s="237"/>
      <c r="C193" s="136"/>
      <c r="D193" s="963"/>
      <c r="E193" s="963"/>
      <c r="F193" s="1040" t="s">
        <v>1134</v>
      </c>
      <c r="G193" s="1041"/>
      <c r="H193" s="1041"/>
      <c r="I193" s="1041"/>
      <c r="J193" s="1041"/>
      <c r="K193" s="1041"/>
      <c r="L193" s="1041"/>
      <c r="M193" s="1042"/>
      <c r="N193" s="955"/>
      <c r="O193" s="1"/>
      <c r="P193" s="60"/>
      <c r="Q193" s="60"/>
      <c r="R193" s="60"/>
      <c r="S193" s="60"/>
      <c r="T193" s="60"/>
      <c r="U193" s="60"/>
      <c r="V193" s="60"/>
      <c r="W193" s="60"/>
    </row>
    <row r="194" spans="1:23" s="246" customFormat="1" ht="30.75" customHeight="1" x14ac:dyDescent="0.3">
      <c r="A194" s="256"/>
      <c r="B194" s="256"/>
      <c r="C194" s="136"/>
      <c r="D194" s="963"/>
      <c r="E194" s="963"/>
      <c r="F194" s="2151" t="s">
        <v>1551</v>
      </c>
      <c r="G194" s="2152"/>
      <c r="H194" s="2152"/>
      <c r="I194" s="2152"/>
      <c r="J194" s="2152"/>
      <c r="K194" s="2152"/>
      <c r="L194" s="2152"/>
      <c r="M194" s="2153"/>
      <c r="N194" s="955"/>
      <c r="O194" s="528" t="s">
        <v>989</v>
      </c>
      <c r="P194" s="60"/>
      <c r="Q194" s="60"/>
      <c r="R194" s="60"/>
      <c r="S194" s="60"/>
      <c r="T194" s="60"/>
      <c r="U194" s="60"/>
      <c r="V194" s="60"/>
      <c r="W194" s="60"/>
    </row>
    <row r="195" spans="1:23" s="246" customFormat="1" ht="6" customHeight="1" x14ac:dyDescent="0.3">
      <c r="A195" s="704"/>
      <c r="B195" s="704"/>
      <c r="C195" s="136"/>
      <c r="D195" s="963"/>
      <c r="E195" s="963"/>
      <c r="F195" s="1043"/>
      <c r="G195" s="1041"/>
      <c r="H195" s="1041"/>
      <c r="I195" s="1041"/>
      <c r="J195" s="1041"/>
      <c r="K195" s="1041"/>
      <c r="L195" s="1041"/>
      <c r="M195" s="1042"/>
      <c r="N195" s="955"/>
      <c r="O195" s="658"/>
      <c r="P195" s="1"/>
      <c r="R195" s="19"/>
      <c r="S195" s="19"/>
      <c r="T195" s="19"/>
    </row>
    <row r="196" spans="1:23" s="246" customFormat="1" ht="16.5" customHeight="1" x14ac:dyDescent="0.3">
      <c r="A196" s="237"/>
      <c r="B196" s="237"/>
      <c r="C196" s="136"/>
      <c r="D196" s="963"/>
      <c r="E196" s="963"/>
      <c r="F196" s="1040" t="s">
        <v>1159</v>
      </c>
      <c r="G196" s="1041"/>
      <c r="H196" s="1041"/>
      <c r="I196" s="1041"/>
      <c r="J196" s="1041"/>
      <c r="K196" s="1041"/>
      <c r="L196" s="1041"/>
      <c r="M196" s="1042"/>
      <c r="N196" s="955"/>
      <c r="O196" s="1"/>
      <c r="P196" s="1"/>
      <c r="R196" s="19"/>
      <c r="S196" s="19"/>
      <c r="T196" s="19"/>
    </row>
    <row r="197" spans="1:23" s="246" customFormat="1" ht="16.5" customHeight="1" x14ac:dyDescent="0.3">
      <c r="A197" s="256"/>
      <c r="B197" s="256"/>
      <c r="C197" s="136"/>
      <c r="D197" s="963"/>
      <c r="E197" s="963"/>
      <c r="F197" s="2151" t="s">
        <v>1395</v>
      </c>
      <c r="G197" s="2152"/>
      <c r="H197" s="2152"/>
      <c r="I197" s="2152"/>
      <c r="J197" s="2152"/>
      <c r="K197" s="2152"/>
      <c r="L197" s="2152"/>
      <c r="M197" s="2153"/>
      <c r="N197" s="955"/>
      <c r="O197" s="658" t="s">
        <v>1222</v>
      </c>
      <c r="P197" s="1"/>
      <c r="R197" s="19"/>
      <c r="S197" s="19"/>
      <c r="T197" s="19"/>
    </row>
    <row r="198" spans="1:23" s="246" customFormat="1" ht="6" customHeight="1" x14ac:dyDescent="0.3">
      <c r="A198" s="670"/>
      <c r="B198" s="670"/>
      <c r="C198" s="136"/>
      <c r="D198" s="963"/>
      <c r="E198" s="963"/>
      <c r="F198" s="1043"/>
      <c r="G198" s="1041"/>
      <c r="H198" s="1041"/>
      <c r="I198" s="1041"/>
      <c r="J198" s="1041"/>
      <c r="K198" s="1041"/>
      <c r="L198" s="1041"/>
      <c r="M198" s="1042"/>
      <c r="N198" s="955"/>
      <c r="O198" s="658"/>
      <c r="P198" s="1"/>
      <c r="R198" s="19"/>
      <c r="S198" s="19"/>
      <c r="T198" s="19"/>
    </row>
    <row r="199" spans="1:23" s="246" customFormat="1" ht="16.5" customHeight="1" x14ac:dyDescent="0.3">
      <c r="A199" s="670"/>
      <c r="B199" s="670"/>
      <c r="C199" s="136"/>
      <c r="D199" s="963"/>
      <c r="E199" s="963"/>
      <c r="F199" s="1040" t="s">
        <v>1587</v>
      </c>
      <c r="G199" s="1041"/>
      <c r="H199" s="1041"/>
      <c r="I199" s="1041"/>
      <c r="J199" s="1041"/>
      <c r="K199" s="1041"/>
      <c r="L199" s="1041"/>
      <c r="M199" s="1042"/>
      <c r="N199" s="955"/>
      <c r="O199" s="658"/>
      <c r="P199" s="1"/>
      <c r="R199" s="19"/>
      <c r="S199" s="19"/>
      <c r="T199" s="19"/>
    </row>
    <row r="200" spans="1:23" s="246" customFormat="1" ht="31.5" customHeight="1" x14ac:dyDescent="0.3">
      <c r="A200" s="637"/>
      <c r="B200" s="637"/>
      <c r="C200" s="136"/>
      <c r="D200" s="963"/>
      <c r="E200" s="963"/>
      <c r="F200" s="2151" t="s">
        <v>1588</v>
      </c>
      <c r="G200" s="2152"/>
      <c r="H200" s="2152"/>
      <c r="I200" s="2152"/>
      <c r="J200" s="2152"/>
      <c r="K200" s="2152"/>
      <c r="L200" s="2152"/>
      <c r="M200" s="2153"/>
      <c r="N200" s="955"/>
      <c r="P200" s="1"/>
      <c r="R200" s="19"/>
      <c r="S200" s="19"/>
      <c r="T200" s="19"/>
    </row>
    <row r="201" spans="1:23" s="246" customFormat="1" ht="7.5" customHeight="1" x14ac:dyDescent="0.3">
      <c r="A201" s="256"/>
      <c r="B201" s="256"/>
      <c r="C201" s="136"/>
      <c r="D201" s="963"/>
      <c r="E201" s="963"/>
      <c r="F201" s="1044"/>
      <c r="G201" s="1045"/>
      <c r="H201" s="1045"/>
      <c r="I201" s="1045"/>
      <c r="J201" s="1045"/>
      <c r="K201" s="1045"/>
      <c r="L201" s="1045"/>
      <c r="M201" s="1046"/>
      <c r="N201" s="955"/>
      <c r="O201" s="658"/>
      <c r="P201" s="1"/>
      <c r="R201" s="19"/>
      <c r="S201" s="19"/>
      <c r="T201" s="19"/>
    </row>
    <row r="202" spans="1:23" s="246" customFormat="1" ht="16.5" customHeight="1" x14ac:dyDescent="0.3">
      <c r="C202" s="136"/>
      <c r="D202" s="963"/>
      <c r="E202" s="963"/>
      <c r="F202" s="1040" t="s">
        <v>1657</v>
      </c>
      <c r="G202" s="1041"/>
      <c r="H202" s="1041"/>
      <c r="I202" s="1041"/>
      <c r="J202" s="1041"/>
      <c r="K202" s="1041"/>
      <c r="L202" s="1041"/>
      <c r="M202" s="1042"/>
      <c r="N202" s="955"/>
      <c r="O202" s="658"/>
      <c r="P202" s="1"/>
      <c r="R202" s="19"/>
      <c r="S202" s="19"/>
      <c r="T202" s="19"/>
    </row>
    <row r="203" spans="1:23" s="246" customFormat="1" ht="16.5" customHeight="1" x14ac:dyDescent="0.3">
      <c r="A203" s="237"/>
      <c r="B203" s="237"/>
      <c r="C203" s="136"/>
      <c r="D203" s="963"/>
      <c r="E203" s="963"/>
      <c r="F203" s="2162" t="s">
        <v>1547</v>
      </c>
      <c r="G203" s="2154"/>
      <c r="H203" s="2154"/>
      <c r="I203" s="2154"/>
      <c r="J203" s="2154"/>
      <c r="K203" s="2154"/>
      <c r="L203" s="2154"/>
      <c r="M203" s="2164"/>
      <c r="N203" s="955"/>
      <c r="O203" s="658" t="s">
        <v>1223</v>
      </c>
      <c r="P203" s="1"/>
      <c r="R203" s="19"/>
      <c r="S203" s="19"/>
      <c r="T203" s="19"/>
    </row>
    <row r="204" spans="1:23" s="246" customFormat="1" ht="6.75" customHeight="1" thickBot="1" x14ac:dyDescent="0.35">
      <c r="A204" s="256"/>
      <c r="B204" s="256"/>
      <c r="C204" s="136"/>
      <c r="D204" s="963"/>
      <c r="E204" s="963"/>
      <c r="F204" s="2135"/>
      <c r="G204" s="2136"/>
      <c r="H204" s="2136"/>
      <c r="I204" s="2136"/>
      <c r="J204" s="2136"/>
      <c r="K204" s="2136"/>
      <c r="L204" s="2136"/>
      <c r="M204" s="2137"/>
      <c r="N204" s="1047"/>
      <c r="O204" s="301"/>
      <c r="P204" s="1"/>
      <c r="R204" s="19"/>
      <c r="S204" s="19"/>
      <c r="T204" s="19"/>
    </row>
    <row r="205" spans="1:23" s="246" customFormat="1" ht="15" x14ac:dyDescent="0.3">
      <c r="A205" s="237"/>
      <c r="B205" s="237"/>
      <c r="C205" s="136"/>
      <c r="D205" s="963"/>
      <c r="E205" s="963"/>
      <c r="F205" s="955"/>
      <c r="G205" s="963"/>
      <c r="H205" s="1039"/>
      <c r="I205" s="955"/>
      <c r="J205" s="955"/>
      <c r="K205" s="1022"/>
      <c r="L205" s="1022"/>
      <c r="M205" s="1022"/>
      <c r="N205" s="955"/>
      <c r="O205" s="1"/>
      <c r="P205" s="1"/>
      <c r="R205" s="19"/>
      <c r="S205" s="19"/>
      <c r="T205" s="19"/>
    </row>
    <row r="206" spans="1:23" s="246" customFormat="1" ht="17.25" customHeight="1" x14ac:dyDescent="0.3">
      <c r="A206" s="156"/>
      <c r="B206" s="237"/>
      <c r="C206" s="796"/>
      <c r="D206" s="961" t="s">
        <v>286</v>
      </c>
      <c r="E206" s="961">
        <f>E170+0.1</f>
        <v>2.8000000000000007</v>
      </c>
      <c r="F206" s="1048" t="s">
        <v>1406</v>
      </c>
      <c r="G206" s="955"/>
      <c r="H206" s="955"/>
      <c r="I206" s="952"/>
      <c r="J206" s="952"/>
      <c r="K206" s="968"/>
      <c r="L206" s="968"/>
      <c r="M206" s="968"/>
      <c r="N206" s="955"/>
      <c r="O206" s="1"/>
      <c r="P206" s="497"/>
      <c r="R206" s="19"/>
      <c r="S206" s="19"/>
      <c r="T206" s="19"/>
    </row>
    <row r="207" spans="1:23" s="246" customFormat="1" ht="15" x14ac:dyDescent="0.3">
      <c r="A207" s="237">
        <v>101</v>
      </c>
      <c r="B207" s="316" t="s">
        <v>809</v>
      </c>
      <c r="C207" s="136"/>
      <c r="D207" s="963"/>
      <c r="E207" s="963"/>
      <c r="F207" s="986" t="s">
        <v>1</v>
      </c>
      <c r="G207" s="955"/>
      <c r="H207" s="955"/>
      <c r="I207" s="955"/>
      <c r="J207" s="955"/>
      <c r="K207" s="982">
        <v>3561</v>
      </c>
      <c r="L207" s="983"/>
      <c r="M207" s="982">
        <v>0</v>
      </c>
      <c r="N207" s="955"/>
      <c r="O207" s="1"/>
      <c r="P207" s="1"/>
      <c r="R207" s="19"/>
      <c r="S207" s="19"/>
      <c r="T207" s="19"/>
    </row>
    <row r="208" spans="1:23" s="246" customFormat="1" ht="16.5" customHeight="1" x14ac:dyDescent="0.3">
      <c r="A208" s="237"/>
      <c r="B208" s="237"/>
      <c r="C208" s="136"/>
      <c r="D208" s="963"/>
      <c r="E208" s="963"/>
      <c r="F208" s="986" t="s">
        <v>2</v>
      </c>
      <c r="G208" s="955"/>
      <c r="H208" s="955"/>
      <c r="I208" s="955"/>
      <c r="J208" s="955"/>
      <c r="K208" s="982">
        <v>-3082</v>
      </c>
      <c r="L208" s="983"/>
      <c r="M208" s="982">
        <v>0</v>
      </c>
      <c r="N208" s="955"/>
      <c r="O208" s="1"/>
      <c r="P208" s="1"/>
      <c r="R208" s="19"/>
      <c r="S208" s="19"/>
      <c r="T208" s="19"/>
    </row>
    <row r="209" spans="1:20" s="246" customFormat="1" ht="16.5" customHeight="1" x14ac:dyDescent="0.3">
      <c r="A209" s="237"/>
      <c r="B209" s="237"/>
      <c r="C209" s="136"/>
      <c r="D209" s="963"/>
      <c r="E209" s="963"/>
      <c r="F209" s="1049" t="s">
        <v>103</v>
      </c>
      <c r="G209" s="955"/>
      <c r="H209" s="955"/>
      <c r="I209" s="955"/>
      <c r="J209" s="955"/>
      <c r="K209" s="984">
        <f>SUM(K207:K208)</f>
        <v>479</v>
      </c>
      <c r="L209" s="985"/>
      <c r="M209" s="984">
        <f>SUM(M207:M208)</f>
        <v>0</v>
      </c>
      <c r="N209" s="955"/>
      <c r="O209" s="1"/>
      <c r="P209" s="301" t="s">
        <v>1319</v>
      </c>
      <c r="R209" s="19"/>
      <c r="S209" s="19"/>
      <c r="T209" s="19"/>
    </row>
    <row r="210" spans="1:20" s="246" customFormat="1" ht="9" customHeight="1" thickBot="1" x14ac:dyDescent="0.35">
      <c r="A210" s="237"/>
      <c r="B210" s="237"/>
      <c r="C210" s="136"/>
      <c r="D210" s="963"/>
      <c r="E210" s="963"/>
      <c r="F210" s="955"/>
      <c r="G210" s="963"/>
      <c r="H210" s="1039"/>
      <c r="I210" s="955"/>
      <c r="J210" s="955"/>
      <c r="K210" s="985"/>
      <c r="L210" s="985"/>
      <c r="M210" s="985"/>
      <c r="N210" s="955"/>
      <c r="O210" s="1"/>
      <c r="P210" s="301"/>
      <c r="R210" s="19"/>
      <c r="S210" s="19"/>
      <c r="T210" s="19"/>
    </row>
    <row r="211" spans="1:20" s="246" customFormat="1" ht="16.5" customHeight="1" x14ac:dyDescent="0.3">
      <c r="A211" s="256"/>
      <c r="B211" s="256"/>
      <c r="C211" s="136"/>
      <c r="D211" s="963"/>
      <c r="E211" s="963"/>
      <c r="F211" s="1025" t="s">
        <v>1133</v>
      </c>
      <c r="G211" s="975"/>
      <c r="H211" s="975"/>
      <c r="I211" s="975"/>
      <c r="J211" s="975"/>
      <c r="K211" s="975"/>
      <c r="L211" s="975"/>
      <c r="M211" s="976"/>
      <c r="N211" s="955"/>
      <c r="O211" s="1"/>
      <c r="P211" s="301"/>
      <c r="R211" s="19"/>
      <c r="S211" s="19"/>
      <c r="T211" s="19"/>
    </row>
    <row r="212" spans="1:20" s="246" customFormat="1" ht="9.9" customHeight="1" x14ac:dyDescent="0.3">
      <c r="A212" s="256"/>
      <c r="B212" s="256"/>
      <c r="C212" s="136"/>
      <c r="D212" s="963"/>
      <c r="E212" s="963"/>
      <c r="F212" s="1028"/>
      <c r="G212" s="1050"/>
      <c r="H212" s="1050"/>
      <c r="I212" s="1050"/>
      <c r="J212" s="1050"/>
      <c r="K212" s="1050"/>
      <c r="L212" s="1050"/>
      <c r="M212" s="1051"/>
      <c r="N212" s="955"/>
      <c r="O212" s="1"/>
      <c r="P212" s="301"/>
      <c r="R212" s="19"/>
      <c r="S212" s="19"/>
      <c r="T212" s="19"/>
    </row>
    <row r="213" spans="1:20" s="246" customFormat="1" ht="16.5" customHeight="1" x14ac:dyDescent="0.3">
      <c r="A213" s="256"/>
      <c r="B213" s="256"/>
      <c r="C213" s="136"/>
      <c r="D213" s="963"/>
      <c r="E213" s="963"/>
      <c r="F213" s="1028" t="s">
        <v>1135</v>
      </c>
      <c r="G213" s="1050"/>
      <c r="H213" s="1050"/>
      <c r="I213" s="1050"/>
      <c r="J213" s="1050"/>
      <c r="K213" s="1050"/>
      <c r="L213" s="1050"/>
      <c r="M213" s="1051"/>
      <c r="N213" s="955"/>
      <c r="O213" s="1"/>
      <c r="P213" s="301"/>
      <c r="R213" s="19"/>
      <c r="S213" s="19"/>
      <c r="T213" s="19"/>
    </row>
    <row r="214" spans="1:20" s="246" customFormat="1" ht="16.5" customHeight="1" thickBot="1" x14ac:dyDescent="0.35">
      <c r="A214" s="237"/>
      <c r="B214" s="237"/>
      <c r="C214" s="136"/>
      <c r="D214" s="963"/>
      <c r="E214" s="963"/>
      <c r="F214" s="1031" t="s">
        <v>655</v>
      </c>
      <c r="G214" s="1052"/>
      <c r="H214" s="1052"/>
      <c r="I214" s="1052"/>
      <c r="J214" s="1052"/>
      <c r="K214" s="1052"/>
      <c r="L214" s="1052"/>
      <c r="M214" s="1053"/>
      <c r="N214" s="955"/>
      <c r="O214" s="1"/>
      <c r="P214" s="301"/>
      <c r="R214" s="19"/>
      <c r="S214" s="19"/>
      <c r="T214" s="19"/>
    </row>
    <row r="215" spans="1:20" s="246" customFormat="1" ht="16.5" customHeight="1" x14ac:dyDescent="0.3">
      <c r="A215" s="237"/>
      <c r="B215" s="237"/>
      <c r="C215" s="136"/>
      <c r="D215" s="963"/>
      <c r="E215" s="963"/>
      <c r="F215" s="955"/>
      <c r="G215" s="963"/>
      <c r="H215" s="1039"/>
      <c r="I215" s="955"/>
      <c r="J215" s="955"/>
      <c r="K215" s="985"/>
      <c r="L215" s="985"/>
      <c r="M215" s="985"/>
      <c r="N215" s="955"/>
      <c r="O215" s="1"/>
      <c r="P215" s="301"/>
      <c r="R215" s="19"/>
      <c r="S215" s="19"/>
      <c r="T215" s="19"/>
    </row>
    <row r="216" spans="1:20" s="3" customFormat="1" ht="16.5" customHeight="1" x14ac:dyDescent="0.3">
      <c r="A216" s="237"/>
      <c r="B216" s="237"/>
      <c r="C216" s="136"/>
      <c r="D216" s="961" t="s">
        <v>286</v>
      </c>
      <c r="E216" s="1054">
        <f>E206+0.1</f>
        <v>2.9000000000000008</v>
      </c>
      <c r="F216" s="956" t="s">
        <v>110</v>
      </c>
      <c r="G216" s="966"/>
      <c r="H216" s="955"/>
      <c r="I216" s="955"/>
      <c r="J216" s="955"/>
      <c r="K216" s="981"/>
      <c r="L216" s="981"/>
      <c r="M216" s="981"/>
      <c r="N216" s="955"/>
      <c r="O216" s="1"/>
      <c r="P216" s="1"/>
      <c r="R216" s="19"/>
      <c r="S216" s="19"/>
      <c r="T216" s="19"/>
    </row>
    <row r="217" spans="1:20" s="3" customFormat="1" ht="16.5" customHeight="1" x14ac:dyDescent="0.3">
      <c r="A217" s="144"/>
      <c r="B217" s="144"/>
      <c r="C217" s="136"/>
      <c r="D217" s="956"/>
      <c r="E217" s="956"/>
      <c r="F217" s="986" t="s">
        <v>732</v>
      </c>
      <c r="G217" s="955"/>
      <c r="H217" s="955"/>
      <c r="I217" s="955"/>
      <c r="J217" s="955"/>
      <c r="K217" s="982">
        <v>0</v>
      </c>
      <c r="L217" s="981"/>
      <c r="M217" s="982">
        <v>0</v>
      </c>
      <c r="N217" s="955"/>
      <c r="O217" s="1"/>
      <c r="P217" s="225"/>
      <c r="R217" s="19"/>
      <c r="S217" s="19"/>
      <c r="T217" s="19"/>
    </row>
    <row r="218" spans="1:20" s="3" customFormat="1" ht="16.5" customHeight="1" x14ac:dyDescent="0.3">
      <c r="A218" s="144"/>
      <c r="B218" s="144"/>
      <c r="C218" s="136"/>
      <c r="D218" s="956"/>
      <c r="E218" s="956"/>
      <c r="F218" s="986" t="s">
        <v>733</v>
      </c>
      <c r="G218" s="955"/>
      <c r="H218" s="955"/>
      <c r="I218" s="955"/>
      <c r="J218" s="955"/>
      <c r="K218" s="982">
        <v>0</v>
      </c>
      <c r="L218" s="981"/>
      <c r="M218" s="982">
        <v>0</v>
      </c>
      <c r="N218" s="955"/>
      <c r="O218" s="1"/>
      <c r="P218" s="1"/>
      <c r="R218" s="19"/>
      <c r="S218" s="19"/>
      <c r="T218" s="19"/>
    </row>
    <row r="219" spans="1:20" s="3" customFormat="1" ht="16.5" customHeight="1" x14ac:dyDescent="0.3">
      <c r="A219" s="144"/>
      <c r="B219" s="144"/>
      <c r="C219" s="136"/>
      <c r="D219" s="956"/>
      <c r="E219" s="956"/>
      <c r="F219" s="986" t="s">
        <v>734</v>
      </c>
      <c r="G219" s="955"/>
      <c r="H219" s="955"/>
      <c r="I219" s="955"/>
      <c r="J219" s="955"/>
      <c r="K219" s="982">
        <v>0</v>
      </c>
      <c r="L219" s="981"/>
      <c r="M219" s="982">
        <v>0</v>
      </c>
      <c r="N219" s="955"/>
      <c r="O219" s="1"/>
      <c r="P219" s="1"/>
      <c r="R219" s="19"/>
      <c r="S219" s="19"/>
      <c r="T219" s="19"/>
    </row>
    <row r="220" spans="1:20" s="3" customFormat="1" ht="16.5" customHeight="1" x14ac:dyDescent="0.3">
      <c r="A220" s="144"/>
      <c r="B220" s="144"/>
      <c r="C220" s="136"/>
      <c r="D220" s="956"/>
      <c r="E220" s="956"/>
      <c r="F220" s="989" t="s">
        <v>193</v>
      </c>
      <c r="G220" s="955"/>
      <c r="H220" s="955"/>
      <c r="I220" s="955"/>
      <c r="J220" s="955"/>
      <c r="K220" s="984">
        <f>K217+K218+K219</f>
        <v>0</v>
      </c>
      <c r="L220" s="1055">
        <f>L217+L218+L219</f>
        <v>0</v>
      </c>
      <c r="M220" s="984">
        <f>M217+M218+M219</f>
        <v>0</v>
      </c>
      <c r="N220" s="955"/>
      <c r="O220" s="1"/>
      <c r="P220" s="1"/>
      <c r="R220" s="19"/>
      <c r="S220" s="19"/>
      <c r="T220" s="19"/>
    </row>
    <row r="221" spans="1:20" s="3" customFormat="1" ht="16.5" customHeight="1" x14ac:dyDescent="0.3">
      <c r="A221" s="144"/>
      <c r="B221" s="144"/>
      <c r="C221" s="136"/>
      <c r="D221" s="2163" t="s">
        <v>735</v>
      </c>
      <c r="E221" s="2163"/>
      <c r="F221" s="2163"/>
      <c r="G221" s="2163"/>
      <c r="H221" s="2163"/>
      <c r="I221" s="2163"/>
      <c r="J221" s="2163"/>
      <c r="K221" s="2163"/>
      <c r="L221" s="2163"/>
      <c r="M221" s="2163"/>
      <c r="N221" s="2163"/>
      <c r="O221" s="542"/>
      <c r="P221" s="1"/>
      <c r="R221" s="19"/>
      <c r="S221" s="19"/>
      <c r="T221" s="19"/>
    </row>
    <row r="222" spans="1:20" s="246" customFormat="1" ht="9" customHeight="1" thickBot="1" x14ac:dyDescent="0.35">
      <c r="A222" s="237"/>
      <c r="B222" s="237"/>
      <c r="C222" s="136"/>
      <c r="D222" s="1056"/>
      <c r="E222" s="1056"/>
      <c r="F222" s="1057"/>
      <c r="G222" s="1057"/>
      <c r="H222" s="1057"/>
      <c r="I222" s="1057"/>
      <c r="J222" s="1057"/>
      <c r="K222" s="1057"/>
      <c r="L222" s="1057"/>
      <c r="M222" s="1057"/>
      <c r="N222" s="1057"/>
      <c r="O222" s="542"/>
      <c r="P222" s="1"/>
      <c r="R222" s="19"/>
      <c r="S222" s="19"/>
      <c r="T222" s="19"/>
    </row>
    <row r="223" spans="1:20" s="246" customFormat="1" ht="16.5" customHeight="1" x14ac:dyDescent="0.3">
      <c r="A223" s="256"/>
      <c r="B223" s="256"/>
      <c r="C223" s="136"/>
      <c r="D223" s="1056"/>
      <c r="E223" s="1056"/>
      <c r="F223" s="1025" t="s">
        <v>1133</v>
      </c>
      <c r="G223" s="1058"/>
      <c r="H223" s="1058"/>
      <c r="I223" s="1058"/>
      <c r="J223" s="1058"/>
      <c r="K223" s="1058"/>
      <c r="L223" s="1058"/>
      <c r="M223" s="1059"/>
      <c r="N223" s="1057"/>
      <c r="O223" s="542"/>
      <c r="P223" s="1"/>
      <c r="R223" s="19"/>
      <c r="S223" s="19"/>
      <c r="T223" s="19"/>
    </row>
    <row r="224" spans="1:20" s="246" customFormat="1" ht="8.25" customHeight="1" x14ac:dyDescent="0.3">
      <c r="A224" s="256"/>
      <c r="B224" s="256"/>
      <c r="C224" s="136"/>
      <c r="D224" s="1056"/>
      <c r="E224" s="1056"/>
      <c r="F224" s="1028"/>
      <c r="G224" s="1060"/>
      <c r="H224" s="1060"/>
      <c r="I224" s="1060"/>
      <c r="J224" s="1060"/>
      <c r="K224" s="1060"/>
      <c r="L224" s="1060"/>
      <c r="M224" s="1061"/>
      <c r="N224" s="1057"/>
      <c r="O224" s="542"/>
      <c r="P224" s="1"/>
      <c r="R224" s="19"/>
      <c r="S224" s="19"/>
      <c r="T224" s="19"/>
    </row>
    <row r="225" spans="1:20" s="246" customFormat="1" ht="16.5" customHeight="1" x14ac:dyDescent="0.3">
      <c r="A225" s="256"/>
      <c r="B225" s="256"/>
      <c r="C225" s="136"/>
      <c r="D225" s="1056"/>
      <c r="E225" s="1056"/>
      <c r="F225" s="1028" t="s">
        <v>1136</v>
      </c>
      <c r="G225" s="1060"/>
      <c r="H225" s="1060"/>
      <c r="I225" s="1060"/>
      <c r="J225" s="1060"/>
      <c r="K225" s="1060"/>
      <c r="L225" s="1060"/>
      <c r="M225" s="1061"/>
      <c r="N225" s="1057"/>
      <c r="O225" s="542"/>
      <c r="P225" s="1"/>
      <c r="R225" s="19"/>
      <c r="S225" s="19"/>
      <c r="T225" s="19"/>
    </row>
    <row r="226" spans="1:20" s="246" customFormat="1" ht="17.25" customHeight="1" thickBot="1" x14ac:dyDescent="0.35">
      <c r="A226" s="237"/>
      <c r="B226" s="237"/>
      <c r="C226" s="136"/>
      <c r="D226" s="1056"/>
      <c r="E226" s="1056"/>
      <c r="F226" s="1062" t="s">
        <v>1767</v>
      </c>
      <c r="G226" s="1052"/>
      <c r="H226" s="1052"/>
      <c r="I226" s="1052"/>
      <c r="J226" s="1052"/>
      <c r="K226" s="1052"/>
      <c r="L226" s="1052"/>
      <c r="M226" s="1053"/>
      <c r="N226" s="1057"/>
      <c r="O226" s="542"/>
      <c r="P226" s="301"/>
      <c r="R226" s="19"/>
      <c r="S226" s="19"/>
      <c r="T226" s="19"/>
    </row>
    <row r="227" spans="1:20" s="246" customFormat="1" ht="13.95" customHeight="1" x14ac:dyDescent="0.3">
      <c r="A227" s="237"/>
      <c r="B227" s="237"/>
      <c r="C227" s="136"/>
      <c r="D227" s="1056"/>
      <c r="E227" s="1056"/>
      <c r="F227" s="1063"/>
      <c r="G227" s="1064"/>
      <c r="H227" s="1064"/>
      <c r="I227" s="1064"/>
      <c r="J227" s="1064"/>
      <c r="K227" s="1064"/>
      <c r="L227" s="1064"/>
      <c r="M227" s="1064"/>
      <c r="N227" s="1057"/>
      <c r="O227" s="576"/>
      <c r="P227" s="1"/>
      <c r="R227" s="19"/>
      <c r="S227" s="19"/>
      <c r="T227" s="19"/>
    </row>
    <row r="228" spans="1:20" s="246" customFormat="1" ht="16.5" customHeight="1" x14ac:dyDescent="0.3">
      <c r="A228" s="237"/>
      <c r="B228" s="237"/>
      <c r="C228" s="136"/>
      <c r="D228" s="956" t="s">
        <v>286</v>
      </c>
      <c r="E228" s="956">
        <v>3</v>
      </c>
      <c r="F228" s="956" t="s">
        <v>582</v>
      </c>
      <c r="G228" s="955"/>
      <c r="H228" s="955"/>
      <c r="I228" s="955"/>
      <c r="J228" s="955"/>
      <c r="K228" s="981"/>
      <c r="L228" s="981"/>
      <c r="M228" s="981"/>
      <c r="N228" s="955"/>
      <c r="O228" s="1"/>
      <c r="P228" s="1"/>
      <c r="R228" s="19"/>
      <c r="S228" s="19"/>
      <c r="T228" s="19"/>
    </row>
    <row r="229" spans="1:20" s="3" customFormat="1" ht="16.5" customHeight="1" x14ac:dyDescent="0.3">
      <c r="A229" s="144">
        <v>101</v>
      </c>
      <c r="B229" s="237" t="s">
        <v>694</v>
      </c>
      <c r="C229" s="136"/>
      <c r="D229" s="961" t="s">
        <v>286</v>
      </c>
      <c r="E229" s="961">
        <v>3.1</v>
      </c>
      <c r="F229" s="956" t="s">
        <v>107</v>
      </c>
      <c r="G229" s="955"/>
      <c r="H229" s="955"/>
      <c r="I229" s="1039"/>
      <c r="J229" s="1039"/>
      <c r="K229" s="982"/>
      <c r="L229" s="982"/>
      <c r="M229" s="982"/>
      <c r="N229" s="955"/>
      <c r="O229" s="1"/>
      <c r="P229" s="1"/>
      <c r="R229" s="19"/>
      <c r="S229" s="19"/>
      <c r="T229" s="19"/>
    </row>
    <row r="230" spans="1:20" s="3" customFormat="1" ht="15" x14ac:dyDescent="0.3">
      <c r="A230" s="144"/>
      <c r="B230" s="144"/>
      <c r="C230" s="136"/>
      <c r="D230" s="963"/>
      <c r="E230" s="963"/>
      <c r="F230" s="986" t="s">
        <v>570</v>
      </c>
      <c r="G230" s="955"/>
      <c r="H230" s="955"/>
      <c r="I230" s="955"/>
      <c r="J230" s="955"/>
      <c r="K230" s="980">
        <f>31881+695</f>
        <v>32576</v>
      </c>
      <c r="L230" s="981"/>
      <c r="M230" s="980">
        <f>31081+774</f>
        <v>31855</v>
      </c>
      <c r="N230" s="955"/>
      <c r="O230" s="1"/>
      <c r="P230" s="1"/>
      <c r="R230" s="19"/>
      <c r="S230" s="19"/>
      <c r="T230" s="19"/>
    </row>
    <row r="231" spans="1:20" s="3" customFormat="1" ht="15" x14ac:dyDescent="0.3">
      <c r="A231" s="144"/>
      <c r="B231" s="144"/>
      <c r="C231" s="136"/>
      <c r="D231" s="963"/>
      <c r="E231" s="963"/>
      <c r="F231" s="986" t="s">
        <v>356</v>
      </c>
      <c r="G231" s="955"/>
      <c r="H231" s="955"/>
      <c r="I231" s="955"/>
      <c r="J231" s="955"/>
      <c r="K231" s="980">
        <v>226</v>
      </c>
      <c r="L231" s="980"/>
      <c r="M231" s="980">
        <v>193</v>
      </c>
      <c r="N231" s="955"/>
      <c r="O231" s="1"/>
      <c r="P231" s="1"/>
      <c r="R231" s="19"/>
      <c r="S231" s="19"/>
      <c r="T231" s="19"/>
    </row>
    <row r="232" spans="1:20" s="3" customFormat="1" ht="16.5" customHeight="1" x14ac:dyDescent="0.3">
      <c r="A232" s="144"/>
      <c r="B232" s="144"/>
      <c r="C232" s="136"/>
      <c r="D232" s="963"/>
      <c r="E232" s="963"/>
      <c r="F232" s="986" t="s">
        <v>587</v>
      </c>
      <c r="G232" s="955"/>
      <c r="H232" s="955"/>
      <c r="I232" s="955"/>
      <c r="J232" s="955"/>
      <c r="K232" s="980">
        <v>2503</v>
      </c>
      <c r="L232" s="981"/>
      <c r="M232" s="980">
        <v>2436</v>
      </c>
      <c r="N232" s="955"/>
      <c r="O232" s="1"/>
      <c r="P232" s="1"/>
      <c r="R232" s="19"/>
      <c r="S232" s="19"/>
      <c r="T232" s="19"/>
    </row>
    <row r="233" spans="1:20" s="3" customFormat="1" ht="16.5" customHeight="1" x14ac:dyDescent="0.3">
      <c r="A233" s="144"/>
      <c r="B233" s="144"/>
      <c r="C233" s="136"/>
      <c r="D233" s="963"/>
      <c r="E233" s="963"/>
      <c r="F233" s="986" t="s">
        <v>730</v>
      </c>
      <c r="G233" s="955"/>
      <c r="H233" s="955"/>
      <c r="I233" s="955"/>
      <c r="J233" s="955"/>
      <c r="K233" s="980">
        <v>962</v>
      </c>
      <c r="L233" s="981"/>
      <c r="M233" s="980">
        <v>937</v>
      </c>
      <c r="N233" s="955"/>
      <c r="O233" s="1"/>
      <c r="P233" s="1"/>
      <c r="R233" s="19"/>
      <c r="S233" s="19"/>
      <c r="T233" s="19"/>
    </row>
    <row r="234" spans="1:20" s="3" customFormat="1" ht="14.25" customHeight="1" x14ac:dyDescent="0.3">
      <c r="A234" s="144"/>
      <c r="B234" s="144"/>
      <c r="C234" s="136"/>
      <c r="D234" s="963"/>
      <c r="E234" s="963"/>
      <c r="F234" s="986" t="s">
        <v>571</v>
      </c>
      <c r="G234" s="955"/>
      <c r="H234" s="955"/>
      <c r="I234" s="955"/>
      <c r="J234" s="955"/>
      <c r="K234" s="1066">
        <v>100</v>
      </c>
      <c r="L234" s="981"/>
      <c r="M234" s="1066">
        <v>0</v>
      </c>
      <c r="N234" s="955"/>
      <c r="O234" s="1"/>
      <c r="P234" s="1"/>
      <c r="R234" s="19"/>
      <c r="S234" s="19"/>
      <c r="T234" s="19"/>
    </row>
    <row r="235" spans="1:20" s="246" customFormat="1" ht="15" x14ac:dyDescent="0.3">
      <c r="A235" s="237"/>
      <c r="B235" s="237"/>
      <c r="C235" s="136"/>
      <c r="D235" s="963"/>
      <c r="E235" s="963"/>
      <c r="F235" s="986"/>
      <c r="G235" s="955"/>
      <c r="H235" s="955"/>
      <c r="I235" s="955"/>
      <c r="J235" s="955"/>
      <c r="K235" s="980">
        <f>SUM(K230:K234)</f>
        <v>36367</v>
      </c>
      <c r="L235" s="981"/>
      <c r="M235" s="980">
        <f>SUM(M230:M234)</f>
        <v>35421</v>
      </c>
      <c r="N235" s="955"/>
      <c r="O235" s="1"/>
      <c r="P235" s="1"/>
      <c r="R235" s="19"/>
      <c r="S235" s="19"/>
      <c r="T235" s="19"/>
    </row>
    <row r="236" spans="1:20" s="246" customFormat="1" ht="15" x14ac:dyDescent="0.3">
      <c r="A236" s="237"/>
      <c r="B236" s="237"/>
      <c r="C236" s="136"/>
      <c r="D236" s="963"/>
      <c r="E236" s="963"/>
      <c r="F236" s="986" t="s">
        <v>771</v>
      </c>
      <c r="G236" s="955"/>
      <c r="H236" s="955"/>
      <c r="I236" s="955"/>
      <c r="J236" s="955"/>
      <c r="K236" s="980">
        <v>-1000</v>
      </c>
      <c r="L236" s="981"/>
      <c r="M236" s="980">
        <v>-1000</v>
      </c>
      <c r="N236" s="955"/>
      <c r="O236" s="1"/>
      <c r="P236" s="1"/>
      <c r="R236" s="19"/>
      <c r="S236" s="19"/>
      <c r="T236" s="19"/>
    </row>
    <row r="237" spans="1:20" s="3" customFormat="1" ht="16.5" customHeight="1" x14ac:dyDescent="0.3">
      <c r="A237" s="144"/>
      <c r="B237" s="144"/>
      <c r="C237" s="136"/>
      <c r="D237" s="963"/>
      <c r="E237" s="963"/>
      <c r="F237" s="989" t="s">
        <v>397</v>
      </c>
      <c r="G237" s="955"/>
      <c r="H237" s="955"/>
      <c r="I237" s="955"/>
      <c r="J237" s="955"/>
      <c r="K237" s="984">
        <f>SUM(K235:K236)</f>
        <v>35367</v>
      </c>
      <c r="L237" s="985"/>
      <c r="M237" s="984">
        <f>SUM(M235:M236)</f>
        <v>34421</v>
      </c>
      <c r="N237" s="955"/>
      <c r="O237" s="1"/>
      <c r="P237" s="1"/>
      <c r="R237" s="19"/>
      <c r="S237" s="19"/>
      <c r="T237" s="19"/>
    </row>
    <row r="238" spans="1:20" s="246" customFormat="1" ht="8.25" customHeight="1" thickBot="1" x14ac:dyDescent="0.35">
      <c r="A238" s="237"/>
      <c r="B238" s="237"/>
      <c r="C238" s="136"/>
      <c r="D238" s="963"/>
      <c r="E238" s="963"/>
      <c r="F238" s="955"/>
      <c r="G238" s="963"/>
      <c r="H238" s="1049"/>
      <c r="I238" s="966"/>
      <c r="J238" s="966"/>
      <c r="K238" s="985"/>
      <c r="L238" s="985"/>
      <c r="M238" s="985"/>
      <c r="N238" s="955"/>
      <c r="O238" s="1"/>
      <c r="P238" s="1"/>
      <c r="R238" s="19"/>
      <c r="S238" s="19"/>
      <c r="T238" s="19"/>
    </row>
    <row r="239" spans="1:20" s="246" customFormat="1" ht="16.5" customHeight="1" x14ac:dyDescent="0.3">
      <c r="A239" s="237"/>
      <c r="B239" s="237"/>
      <c r="C239" s="136"/>
      <c r="D239" s="963"/>
      <c r="E239" s="963"/>
      <c r="F239" s="1067" t="s">
        <v>1133</v>
      </c>
      <c r="G239" s="1068"/>
      <c r="H239" s="1068"/>
      <c r="I239" s="1068"/>
      <c r="J239" s="1068"/>
      <c r="K239" s="1068"/>
      <c r="L239" s="1068"/>
      <c r="M239" s="1069"/>
      <c r="N239" s="955"/>
      <c r="O239" s="1"/>
      <c r="P239" s="1"/>
      <c r="R239" s="19"/>
      <c r="S239" s="19"/>
      <c r="T239" s="19"/>
    </row>
    <row r="240" spans="1:20" s="246" customFormat="1" ht="9" customHeight="1" x14ac:dyDescent="0.3">
      <c r="A240" s="237"/>
      <c r="B240" s="237"/>
      <c r="C240" s="136"/>
      <c r="D240" s="963"/>
      <c r="E240" s="963"/>
      <c r="F240" s="1028"/>
      <c r="G240" s="1070"/>
      <c r="H240" s="1070"/>
      <c r="I240" s="1070"/>
      <c r="J240" s="1070"/>
      <c r="K240" s="1070"/>
      <c r="L240" s="1070"/>
      <c r="M240" s="1071"/>
      <c r="N240" s="955"/>
      <c r="O240" s="1"/>
      <c r="P240" s="1"/>
      <c r="R240" s="19"/>
      <c r="S240" s="19"/>
      <c r="T240" s="19"/>
    </row>
    <row r="241" spans="1:20" s="246" customFormat="1" ht="16.5" customHeight="1" x14ac:dyDescent="0.3">
      <c r="A241" s="237"/>
      <c r="B241" s="237"/>
      <c r="C241" s="136"/>
      <c r="D241" s="963"/>
      <c r="E241" s="963"/>
      <c r="F241" s="1028" t="s">
        <v>107</v>
      </c>
      <c r="G241" s="1070"/>
      <c r="H241" s="1070"/>
      <c r="I241" s="1070"/>
      <c r="J241" s="1070"/>
      <c r="K241" s="1070"/>
      <c r="L241" s="1070"/>
      <c r="M241" s="1071"/>
      <c r="N241" s="955"/>
      <c r="O241" s="1"/>
      <c r="P241" s="1"/>
      <c r="R241" s="19"/>
      <c r="S241" s="19"/>
      <c r="T241" s="19"/>
    </row>
    <row r="242" spans="1:20" s="246" customFormat="1" ht="31.5" customHeight="1" x14ac:dyDescent="0.3">
      <c r="A242" s="237"/>
      <c r="B242" s="237"/>
      <c r="C242" s="136"/>
      <c r="D242" s="963"/>
      <c r="E242" s="963"/>
      <c r="F242" s="2132" t="s">
        <v>1196</v>
      </c>
      <c r="G242" s="2133"/>
      <c r="H242" s="2133"/>
      <c r="I242" s="2133"/>
      <c r="J242" s="2133"/>
      <c r="K242" s="2133"/>
      <c r="L242" s="2133"/>
      <c r="M242" s="2134"/>
      <c r="N242" s="955"/>
      <c r="O242" s="355"/>
      <c r="P242" s="1"/>
      <c r="R242" s="19"/>
      <c r="S242" s="19"/>
      <c r="T242" s="19"/>
    </row>
    <row r="243" spans="1:20" s="246" customFormat="1" ht="31.5" customHeight="1" thickBot="1" x14ac:dyDescent="0.35">
      <c r="A243" s="237"/>
      <c r="B243" s="237"/>
      <c r="C243" s="136"/>
      <c r="D243" s="963"/>
      <c r="E243" s="963"/>
      <c r="F243" s="2141" t="s">
        <v>725</v>
      </c>
      <c r="G243" s="2142"/>
      <c r="H243" s="2142"/>
      <c r="I243" s="2142"/>
      <c r="J243" s="2142"/>
      <c r="K243" s="2142"/>
      <c r="L243" s="2142"/>
      <c r="M243" s="2143"/>
      <c r="N243" s="1072"/>
      <c r="O243" s="299"/>
      <c r="P243" s="1"/>
      <c r="R243" s="19"/>
      <c r="S243" s="19"/>
      <c r="T243" s="19"/>
    </row>
    <row r="244" spans="1:20" s="3" customFormat="1" ht="15" x14ac:dyDescent="0.3">
      <c r="A244" s="144"/>
      <c r="B244" s="144"/>
      <c r="C244" s="136"/>
      <c r="D244" s="963"/>
      <c r="E244" s="963"/>
      <c r="F244" s="955"/>
      <c r="G244" s="963"/>
      <c r="H244" s="1023"/>
      <c r="I244" s="955"/>
      <c r="J244" s="955"/>
      <c r="K244" s="981"/>
      <c r="L244" s="981"/>
      <c r="M244" s="981"/>
      <c r="N244" s="955"/>
      <c r="O244" s="1"/>
      <c r="P244" s="1"/>
      <c r="R244" s="19"/>
      <c r="S244" s="19"/>
      <c r="T244" s="19"/>
    </row>
    <row r="245" spans="1:20" s="3" customFormat="1" ht="16.5" customHeight="1" x14ac:dyDescent="0.3">
      <c r="A245" s="144">
        <v>101</v>
      </c>
      <c r="B245" s="144" t="s">
        <v>694</v>
      </c>
      <c r="C245" s="136"/>
      <c r="D245" s="961" t="s">
        <v>286</v>
      </c>
      <c r="E245" s="961">
        <f>E229+0.1</f>
        <v>3.2</v>
      </c>
      <c r="F245" s="956" t="s">
        <v>77</v>
      </c>
      <c r="G245" s="966"/>
      <c r="H245" s="955"/>
      <c r="I245" s="955"/>
      <c r="J245" s="955"/>
      <c r="K245" s="982"/>
      <c r="L245" s="982"/>
      <c r="M245" s="982"/>
      <c r="N245" s="955"/>
      <c r="O245" s="1"/>
      <c r="P245" s="1"/>
      <c r="R245" s="19"/>
      <c r="S245" s="19"/>
      <c r="T245" s="19"/>
    </row>
    <row r="246" spans="1:20" s="3" customFormat="1" ht="16.5" customHeight="1" x14ac:dyDescent="0.3">
      <c r="A246" s="144"/>
      <c r="B246" s="144"/>
      <c r="C246" s="136"/>
      <c r="D246" s="1073"/>
      <c r="E246" s="1073"/>
      <c r="F246" s="986" t="s">
        <v>644</v>
      </c>
      <c r="G246" s="955"/>
      <c r="H246" s="955"/>
      <c r="I246" s="952"/>
      <c r="J246" s="952"/>
      <c r="K246" s="983">
        <v>6176</v>
      </c>
      <c r="L246" s="983"/>
      <c r="M246" s="983">
        <v>7176</v>
      </c>
      <c r="N246" s="955"/>
      <c r="O246" s="1"/>
      <c r="P246" s="1"/>
      <c r="R246" s="19"/>
      <c r="S246" s="19"/>
      <c r="T246" s="19"/>
    </row>
    <row r="247" spans="1:20" ht="15" x14ac:dyDescent="0.3">
      <c r="A247" s="144"/>
      <c r="B247" s="144"/>
      <c r="C247" s="136"/>
      <c r="D247" s="1073"/>
      <c r="E247" s="1073"/>
      <c r="F247" s="986" t="s">
        <v>645</v>
      </c>
      <c r="G247" s="963"/>
      <c r="H247" s="955"/>
      <c r="I247" s="952"/>
      <c r="J247" s="952"/>
      <c r="K247" s="981">
        <v>4484</v>
      </c>
      <c r="L247" s="983"/>
      <c r="M247" s="981">
        <v>4984</v>
      </c>
      <c r="N247" s="955"/>
    </row>
    <row r="248" spans="1:20" s="3" customFormat="1" ht="16.5" customHeight="1" x14ac:dyDescent="0.3">
      <c r="A248" s="144"/>
      <c r="B248" s="144"/>
      <c r="C248" s="136"/>
      <c r="D248" s="1073"/>
      <c r="E248" s="1073"/>
      <c r="F248" s="986" t="s">
        <v>341</v>
      </c>
      <c r="G248" s="955"/>
      <c r="H248" s="955"/>
      <c r="I248" s="952"/>
      <c r="J248" s="952"/>
      <c r="K248" s="983">
        <v>3588</v>
      </c>
      <c r="L248" s="983"/>
      <c r="M248" s="983">
        <f>3988-1000-450</f>
        <v>2538</v>
      </c>
      <c r="N248" s="955"/>
      <c r="O248" s="1"/>
      <c r="P248" s="1"/>
      <c r="R248" s="19"/>
      <c r="S248" s="19"/>
      <c r="T248" s="19"/>
    </row>
    <row r="249" spans="1:20" s="3" customFormat="1" ht="16.5" customHeight="1" x14ac:dyDescent="0.3">
      <c r="A249" s="144"/>
      <c r="B249" s="144"/>
      <c r="C249" s="136"/>
      <c r="D249" s="1073"/>
      <c r="E249" s="1073"/>
      <c r="F249" s="986" t="s">
        <v>342</v>
      </c>
      <c r="G249" s="955"/>
      <c r="H249" s="955"/>
      <c r="I249" s="952"/>
      <c r="J249" s="952"/>
      <c r="K249" s="983">
        <f>2691-0</f>
        <v>2691</v>
      </c>
      <c r="L249" s="983"/>
      <c r="M249" s="983">
        <v>3195</v>
      </c>
      <c r="N249" s="955"/>
      <c r="O249" s="1"/>
      <c r="P249" s="1"/>
      <c r="R249" s="19"/>
      <c r="S249" s="19"/>
      <c r="T249" s="19"/>
    </row>
    <row r="250" spans="1:20" s="3" customFormat="1" ht="16.5" customHeight="1" x14ac:dyDescent="0.3">
      <c r="A250" s="144"/>
      <c r="B250" s="144"/>
      <c r="C250" s="136"/>
      <c r="D250" s="1073"/>
      <c r="E250" s="1073"/>
      <c r="F250" s="986" t="s">
        <v>343</v>
      </c>
      <c r="G250" s="955"/>
      <c r="H250" s="955"/>
      <c r="I250" s="952"/>
      <c r="J250" s="952"/>
      <c r="K250" s="983">
        <v>4000</v>
      </c>
      <c r="L250" s="983"/>
      <c r="M250" s="983">
        <v>3500</v>
      </c>
      <c r="N250" s="955"/>
      <c r="O250" s="1"/>
      <c r="P250" s="1"/>
      <c r="R250" s="19"/>
      <c r="S250" s="19"/>
      <c r="T250" s="19"/>
    </row>
    <row r="251" spans="1:20" s="246" customFormat="1" ht="16.5" customHeight="1" x14ac:dyDescent="0.3">
      <c r="A251" s="237">
        <v>1058</v>
      </c>
      <c r="B251" s="237" t="s">
        <v>1590</v>
      </c>
      <c r="C251" s="136"/>
      <c r="D251" s="1073"/>
      <c r="E251" s="1073"/>
      <c r="F251" s="986" t="s">
        <v>1587</v>
      </c>
      <c r="G251" s="955"/>
      <c r="H251" s="955"/>
      <c r="I251" s="963"/>
      <c r="J251" s="997"/>
      <c r="K251" s="983">
        <v>0</v>
      </c>
      <c r="L251" s="983"/>
      <c r="M251" s="983">
        <v>0</v>
      </c>
      <c r="N251" s="955"/>
      <c r="O251" s="301" t="s">
        <v>1591</v>
      </c>
      <c r="P251" s="1"/>
      <c r="R251" s="19"/>
      <c r="S251" s="19"/>
      <c r="T251" s="19"/>
    </row>
    <row r="252" spans="1:20" s="3" customFormat="1" ht="16.5" customHeight="1" x14ac:dyDescent="0.3">
      <c r="A252" s="144"/>
      <c r="B252" s="144"/>
      <c r="C252" s="136"/>
      <c r="D252" s="1073"/>
      <c r="E252" s="1073"/>
      <c r="F252" s="1035" t="s">
        <v>409</v>
      </c>
      <c r="G252" s="1036"/>
      <c r="H252" s="1036"/>
      <c r="I252" s="1074"/>
      <c r="J252" s="1074"/>
      <c r="K252" s="1038">
        <v>0</v>
      </c>
      <c r="L252" s="1038"/>
      <c r="M252" s="1038">
        <v>0</v>
      </c>
      <c r="N252" s="955"/>
      <c r="O252" s="1"/>
      <c r="P252" s="1"/>
      <c r="R252" s="19"/>
      <c r="S252" s="19"/>
      <c r="T252" s="19"/>
    </row>
    <row r="253" spans="1:20" s="3" customFormat="1" ht="16.5" customHeight="1" x14ac:dyDescent="0.3">
      <c r="A253" s="144"/>
      <c r="B253" s="144"/>
      <c r="C253" s="136"/>
      <c r="D253" s="1073"/>
      <c r="E253" s="1073"/>
      <c r="F253" s="989" t="s">
        <v>398</v>
      </c>
      <c r="G253" s="955"/>
      <c r="H253" s="955"/>
      <c r="I253" s="955"/>
      <c r="J253" s="955"/>
      <c r="K253" s="984">
        <f>SUM(K246:K252)</f>
        <v>20939</v>
      </c>
      <c r="L253" s="985"/>
      <c r="M253" s="984">
        <f>SUM(M246:M252)</f>
        <v>21393</v>
      </c>
      <c r="N253" s="955"/>
      <c r="O253" s="1"/>
      <c r="P253" s="1"/>
      <c r="R253" s="19"/>
      <c r="S253" s="19"/>
      <c r="T253" s="19"/>
    </row>
    <row r="254" spans="1:20" s="246" customFormat="1" ht="9.75" customHeight="1" thickBot="1" x14ac:dyDescent="0.35">
      <c r="A254" s="237"/>
      <c r="B254" s="237"/>
      <c r="C254" s="136"/>
      <c r="D254" s="1073"/>
      <c r="E254" s="1073"/>
      <c r="F254" s="952"/>
      <c r="G254" s="1073"/>
      <c r="H254" s="1039"/>
      <c r="I254" s="955"/>
      <c r="J254" s="955"/>
      <c r="K254" s="985"/>
      <c r="L254" s="985"/>
      <c r="M254" s="985"/>
      <c r="N254" s="955"/>
      <c r="O254" s="1"/>
      <c r="P254" s="1"/>
      <c r="R254" s="19"/>
      <c r="S254" s="19"/>
      <c r="T254" s="19"/>
    </row>
    <row r="255" spans="1:20" s="246" customFormat="1" ht="16.5" customHeight="1" x14ac:dyDescent="0.3">
      <c r="A255" s="237"/>
      <c r="B255" s="237"/>
      <c r="C255" s="136"/>
      <c r="D255" s="1073"/>
      <c r="E255" s="1073"/>
      <c r="F255" s="1067" t="s">
        <v>1133</v>
      </c>
      <c r="G255" s="1068"/>
      <c r="H255" s="1068"/>
      <c r="I255" s="1068"/>
      <c r="J255" s="1068"/>
      <c r="K255" s="1068"/>
      <c r="L255" s="1068"/>
      <c r="M255" s="1069"/>
      <c r="N255" s="955"/>
      <c r="O255" s="1"/>
      <c r="P255" s="1"/>
      <c r="R255" s="19"/>
      <c r="S255" s="19"/>
      <c r="T255" s="19"/>
    </row>
    <row r="256" spans="1:20" s="246" customFormat="1" ht="7.5" customHeight="1" x14ac:dyDescent="0.3">
      <c r="A256" s="237"/>
      <c r="B256" s="237"/>
      <c r="C256" s="136"/>
      <c r="D256" s="1073"/>
      <c r="E256" s="1073"/>
      <c r="F256" s="1028"/>
      <c r="G256" s="1070"/>
      <c r="H256" s="1070"/>
      <c r="I256" s="1070"/>
      <c r="J256" s="1070"/>
      <c r="K256" s="1070"/>
      <c r="L256" s="1070"/>
      <c r="M256" s="1071"/>
      <c r="N256" s="955"/>
      <c r="O256" s="1"/>
      <c r="P256" s="1"/>
      <c r="R256" s="19"/>
      <c r="S256" s="19"/>
      <c r="T256" s="19"/>
    </row>
    <row r="257" spans="1:20" s="246" customFormat="1" ht="16.5" customHeight="1" x14ac:dyDescent="0.3">
      <c r="A257" s="237"/>
      <c r="B257" s="237"/>
      <c r="C257" s="136"/>
      <c r="D257" s="1073"/>
      <c r="E257" s="1073"/>
      <c r="F257" s="1028" t="s">
        <v>1137</v>
      </c>
      <c r="G257" s="1070"/>
      <c r="H257" s="1070"/>
      <c r="I257" s="1070"/>
      <c r="J257" s="1070"/>
      <c r="K257" s="1070"/>
      <c r="L257" s="1070"/>
      <c r="M257" s="1071"/>
      <c r="N257" s="955"/>
      <c r="O257" s="1"/>
      <c r="P257" s="1"/>
      <c r="R257" s="19"/>
      <c r="S257" s="19"/>
      <c r="T257" s="19"/>
    </row>
    <row r="258" spans="1:20" s="246" customFormat="1" ht="30.75" customHeight="1" x14ac:dyDescent="0.3">
      <c r="A258" s="237"/>
      <c r="B258" s="237"/>
      <c r="C258" s="136"/>
      <c r="D258" s="1073"/>
      <c r="E258" s="1073"/>
      <c r="F258" s="2132" t="s">
        <v>1196</v>
      </c>
      <c r="G258" s="2133"/>
      <c r="H258" s="2133"/>
      <c r="I258" s="2133"/>
      <c r="J258" s="2133"/>
      <c r="K258" s="2133"/>
      <c r="L258" s="2133"/>
      <c r="M258" s="2134"/>
      <c r="N258" s="955"/>
      <c r="O258" s="302"/>
      <c r="P258" s="1"/>
      <c r="R258" s="19"/>
      <c r="S258" s="19"/>
      <c r="T258" s="19"/>
    </row>
    <row r="259" spans="1:20" s="246" customFormat="1" ht="48.75" customHeight="1" thickBot="1" x14ac:dyDescent="0.35">
      <c r="A259" s="237"/>
      <c r="B259" s="237"/>
      <c r="C259" s="136"/>
      <c r="D259" s="1073"/>
      <c r="E259" s="1073"/>
      <c r="F259" s="2141" t="s">
        <v>1768</v>
      </c>
      <c r="G259" s="2142"/>
      <c r="H259" s="2142"/>
      <c r="I259" s="2142"/>
      <c r="J259" s="2142"/>
      <c r="K259" s="2142"/>
      <c r="L259" s="2142"/>
      <c r="M259" s="2143"/>
      <c r="N259" s="1072"/>
      <c r="O259" s="299"/>
      <c r="P259" s="1"/>
      <c r="R259" s="19"/>
      <c r="S259" s="19"/>
      <c r="T259" s="19"/>
    </row>
    <row r="260" spans="1:20" s="3" customFormat="1" ht="15" x14ac:dyDescent="0.3">
      <c r="A260" s="144"/>
      <c r="B260" s="144"/>
      <c r="C260" s="136"/>
      <c r="D260" s="1073"/>
      <c r="E260" s="1073"/>
      <c r="F260" s="952"/>
      <c r="G260" s="1073"/>
      <c r="H260" s="1023"/>
      <c r="I260" s="955"/>
      <c r="J260" s="955"/>
      <c r="K260" s="981"/>
      <c r="L260" s="981"/>
      <c r="M260" s="981"/>
      <c r="N260" s="955"/>
      <c r="O260" s="1"/>
      <c r="P260" s="1"/>
      <c r="R260" s="19"/>
      <c r="S260" s="19"/>
      <c r="T260" s="19"/>
    </row>
    <row r="261" spans="1:20" s="3" customFormat="1" ht="16.5" customHeight="1" x14ac:dyDescent="0.3">
      <c r="A261" s="144"/>
      <c r="B261" s="144"/>
      <c r="C261" s="136"/>
      <c r="D261" s="961" t="s">
        <v>286</v>
      </c>
      <c r="E261" s="961">
        <f>E245+0.1</f>
        <v>3.3000000000000003</v>
      </c>
      <c r="F261" s="956" t="s">
        <v>736</v>
      </c>
      <c r="G261" s="966"/>
      <c r="H261" s="955"/>
      <c r="I261" s="955"/>
      <c r="J261" s="955"/>
      <c r="K261" s="983"/>
      <c r="L261" s="983"/>
      <c r="M261" s="983"/>
      <c r="N261" s="955"/>
      <c r="O261" s="1"/>
      <c r="P261" s="225"/>
      <c r="R261" s="19"/>
      <c r="S261" s="19"/>
      <c r="T261" s="19"/>
    </row>
    <row r="262" spans="1:20" s="3" customFormat="1" ht="16.5" customHeight="1" x14ac:dyDescent="0.3">
      <c r="A262" s="144"/>
      <c r="B262" s="144"/>
      <c r="C262" s="136"/>
      <c r="D262" s="956"/>
      <c r="E262" s="956"/>
      <c r="F262" s="986" t="s">
        <v>346</v>
      </c>
      <c r="G262" s="955"/>
      <c r="H262" s="955"/>
      <c r="I262" s="955"/>
      <c r="J262" s="955"/>
      <c r="K262" s="983">
        <f>500-283</f>
        <v>217</v>
      </c>
      <c r="L262" s="983"/>
      <c r="M262" s="983">
        <v>900</v>
      </c>
      <c r="N262" s="955"/>
      <c r="O262" s="1"/>
      <c r="P262" s="1"/>
      <c r="R262" s="19"/>
      <c r="S262" s="19"/>
      <c r="T262" s="19"/>
    </row>
    <row r="263" spans="1:20" s="3" customFormat="1" ht="16.5" customHeight="1" x14ac:dyDescent="0.3">
      <c r="A263" s="144"/>
      <c r="B263" s="144"/>
      <c r="C263" s="136"/>
      <c r="D263" s="1073"/>
      <c r="E263" s="1073"/>
      <c r="F263" s="986" t="s">
        <v>572</v>
      </c>
      <c r="G263" s="955"/>
      <c r="H263" s="955"/>
      <c r="I263" s="957"/>
      <c r="J263" s="957"/>
      <c r="K263" s="983">
        <f>1250-500</f>
        <v>750</v>
      </c>
      <c r="L263" s="983"/>
      <c r="M263" s="983">
        <f>3190-650</f>
        <v>2540</v>
      </c>
      <c r="N263" s="955"/>
      <c r="O263" s="1"/>
      <c r="P263" s="1"/>
      <c r="R263" s="19"/>
      <c r="S263" s="19"/>
      <c r="T263" s="19"/>
    </row>
    <row r="264" spans="1:20" s="3" customFormat="1" ht="16.5" customHeight="1" x14ac:dyDescent="0.3">
      <c r="A264" s="144"/>
      <c r="B264" s="144"/>
      <c r="C264" s="136"/>
      <c r="D264" s="963"/>
      <c r="E264" s="963"/>
      <c r="F264" s="989" t="s">
        <v>737</v>
      </c>
      <c r="G264" s="955"/>
      <c r="H264" s="955"/>
      <c r="I264" s="952"/>
      <c r="J264" s="952"/>
      <c r="K264" s="984">
        <f>SUM(K262:K263)</f>
        <v>967</v>
      </c>
      <c r="L264" s="985"/>
      <c r="M264" s="984">
        <f>SUM(M262:M263)</f>
        <v>3440</v>
      </c>
      <c r="N264" s="955"/>
      <c r="O264" s="1"/>
      <c r="P264" s="1"/>
      <c r="R264" s="19"/>
      <c r="S264" s="19"/>
      <c r="T264" s="19"/>
    </row>
    <row r="265" spans="1:20" s="246" customFormat="1" ht="6.75" customHeight="1" thickBot="1" x14ac:dyDescent="0.35">
      <c r="A265" s="237"/>
      <c r="B265" s="237"/>
      <c r="C265" s="136"/>
      <c r="D265" s="963"/>
      <c r="E265" s="963"/>
      <c r="F265" s="955"/>
      <c r="G265" s="963"/>
      <c r="H265" s="989"/>
      <c r="I265" s="952"/>
      <c r="J265" s="952"/>
      <c r="K265" s="985"/>
      <c r="L265" s="985"/>
      <c r="M265" s="985"/>
      <c r="N265" s="955"/>
      <c r="O265" s="1"/>
      <c r="P265" s="1"/>
      <c r="R265" s="19"/>
      <c r="S265" s="19"/>
      <c r="T265" s="19"/>
    </row>
    <row r="266" spans="1:20" s="246" customFormat="1" ht="16.5" customHeight="1" x14ac:dyDescent="0.3">
      <c r="A266" s="237"/>
      <c r="B266" s="237"/>
      <c r="C266" s="136"/>
      <c r="D266" s="963"/>
      <c r="E266" s="963"/>
      <c r="F266" s="1025" t="s">
        <v>1133</v>
      </c>
      <c r="G266" s="1075"/>
      <c r="H266" s="1075"/>
      <c r="I266" s="1075"/>
      <c r="J266" s="1075"/>
      <c r="K266" s="1075"/>
      <c r="L266" s="1075"/>
      <c r="M266" s="1076"/>
      <c r="N266" s="955"/>
      <c r="O266" s="1"/>
      <c r="P266" s="225"/>
      <c r="R266" s="19"/>
      <c r="S266" s="19"/>
      <c r="T266" s="19"/>
    </row>
    <row r="267" spans="1:20" s="246" customFormat="1" ht="9" customHeight="1" x14ac:dyDescent="0.3">
      <c r="A267" s="237"/>
      <c r="B267" s="237"/>
      <c r="C267" s="136"/>
      <c r="D267" s="963"/>
      <c r="E267" s="963"/>
      <c r="F267" s="1028"/>
      <c r="G267" s="1070"/>
      <c r="H267" s="1070"/>
      <c r="I267" s="1070"/>
      <c r="J267" s="1070"/>
      <c r="K267" s="1070"/>
      <c r="L267" s="1070"/>
      <c r="M267" s="1071"/>
      <c r="N267" s="955"/>
      <c r="O267" s="1"/>
      <c r="P267" s="225"/>
      <c r="R267" s="19"/>
      <c r="S267" s="19"/>
      <c r="T267" s="19"/>
    </row>
    <row r="268" spans="1:20" s="246" customFormat="1" ht="16.5" customHeight="1" x14ac:dyDescent="0.3">
      <c r="A268" s="237"/>
      <c r="B268" s="237"/>
      <c r="C268" s="136"/>
      <c r="D268" s="963"/>
      <c r="E268" s="963"/>
      <c r="F268" s="1028" t="s">
        <v>1138</v>
      </c>
      <c r="G268" s="1070"/>
      <c r="H268" s="1070"/>
      <c r="I268" s="1070"/>
      <c r="J268" s="1070"/>
      <c r="K268" s="1070"/>
      <c r="L268" s="1070"/>
      <c r="M268" s="1071"/>
      <c r="N268" s="955"/>
      <c r="O268" s="1"/>
      <c r="P268" s="225"/>
      <c r="R268" s="19"/>
      <c r="S268" s="19"/>
      <c r="T268" s="19"/>
    </row>
    <row r="269" spans="1:20" s="246" customFormat="1" ht="31.5" customHeight="1" thickBot="1" x14ac:dyDescent="0.35">
      <c r="A269" s="237"/>
      <c r="B269" s="237"/>
      <c r="C269" s="949"/>
      <c r="D269" s="963"/>
      <c r="E269" s="963"/>
      <c r="F269" s="2141" t="str">
        <f>"Expenses are recognised when Council has determined there to be an increase in the credit risk of a financial asset since initial recognition. Council's policy and events giving rise to impairment losses are disclosed in note "&amp;E425&amp;"."</f>
        <v>Expenses are recognised when Council has determined there to be an increase in the credit risk of a financial asset since initial recognition. Council's policy and events giving rise to impairment losses are disclosed in note 4.2.</v>
      </c>
      <c r="G269" s="2142"/>
      <c r="H269" s="2142"/>
      <c r="I269" s="2142"/>
      <c r="J269" s="2142"/>
      <c r="K269" s="2142"/>
      <c r="L269" s="2142"/>
      <c r="M269" s="2143"/>
      <c r="N269" s="955"/>
      <c r="O269" s="302" t="s">
        <v>2045</v>
      </c>
      <c r="P269" s="225"/>
      <c r="R269" s="19"/>
      <c r="S269" s="19"/>
      <c r="T269" s="19"/>
    </row>
    <row r="270" spans="1:20" s="3" customFormat="1" ht="9" customHeight="1" x14ac:dyDescent="0.3">
      <c r="A270" s="139"/>
      <c r="B270" s="144"/>
      <c r="C270" s="136"/>
      <c r="D270" s="963"/>
      <c r="E270" s="963"/>
      <c r="F270" s="955"/>
      <c r="G270" s="963"/>
      <c r="H270" s="1023"/>
      <c r="I270" s="952"/>
      <c r="J270" s="952"/>
      <c r="K270" s="981"/>
      <c r="L270" s="981"/>
      <c r="M270" s="981"/>
      <c r="N270" s="955"/>
      <c r="O270" s="1"/>
      <c r="P270" s="1"/>
      <c r="R270" s="19"/>
      <c r="S270" s="19"/>
      <c r="T270" s="19"/>
    </row>
    <row r="271" spans="1:20" s="3" customFormat="1" ht="16.5" customHeight="1" x14ac:dyDescent="0.25">
      <c r="A271" s="139">
        <v>116</v>
      </c>
      <c r="B271" s="144">
        <v>48</v>
      </c>
      <c r="C271" s="62"/>
      <c r="D271" s="961" t="s">
        <v>286</v>
      </c>
      <c r="E271" s="961">
        <f>E261+0.1</f>
        <v>3.4000000000000004</v>
      </c>
      <c r="F271" s="956" t="s">
        <v>75</v>
      </c>
      <c r="G271" s="955"/>
      <c r="H271" s="955"/>
      <c r="I271" s="1039"/>
      <c r="J271" s="1039"/>
      <c r="K271" s="1077"/>
      <c r="L271" s="1077"/>
      <c r="M271" s="1077"/>
      <c r="N271" s="955"/>
      <c r="O271" s="1"/>
      <c r="P271" s="1"/>
      <c r="R271" s="19"/>
      <c r="S271" s="19"/>
      <c r="T271" s="19"/>
    </row>
    <row r="272" spans="1:20" s="3" customFormat="1" ht="16.5" customHeight="1" x14ac:dyDescent="0.25">
      <c r="A272" s="139"/>
      <c r="B272" s="139"/>
      <c r="C272" s="62"/>
      <c r="D272" s="1078"/>
      <c r="E272" s="1078"/>
      <c r="F272" s="1079" t="s">
        <v>452</v>
      </c>
      <c r="G272" s="955"/>
      <c r="H272" s="955"/>
      <c r="I272" s="1039"/>
      <c r="J272" s="1039"/>
      <c r="K272" s="1077"/>
      <c r="L272" s="1077"/>
      <c r="M272" s="1077"/>
      <c r="N272" s="955"/>
      <c r="O272" s="1"/>
      <c r="P272" s="1"/>
      <c r="R272" s="19"/>
      <c r="S272" s="19"/>
      <c r="T272" s="19"/>
    </row>
    <row r="273" spans="1:20" s="3" customFormat="1" ht="16.5" customHeight="1" x14ac:dyDescent="0.25">
      <c r="A273" s="139"/>
      <c r="B273" s="139"/>
      <c r="C273" s="62"/>
      <c r="D273" s="963"/>
      <c r="E273" s="1078"/>
      <c r="F273" s="1080" t="s">
        <v>199</v>
      </c>
      <c r="G273" s="955"/>
      <c r="H273" s="955"/>
      <c r="I273" s="1023"/>
      <c r="J273" s="1023"/>
      <c r="K273" s="1081">
        <f>-'Note 6 (cont) '!I14</f>
        <v>296</v>
      </c>
      <c r="L273" s="1081"/>
      <c r="M273" s="1081">
        <f>-'Note 6 (cont) '!I65</f>
        <v>289</v>
      </c>
      <c r="N273" s="955"/>
      <c r="O273" s="1"/>
      <c r="P273" s="225"/>
      <c r="R273" s="19"/>
      <c r="S273" s="19"/>
      <c r="T273" s="19"/>
    </row>
    <row r="274" spans="1:20" s="3" customFormat="1" ht="16.5" customHeight="1" x14ac:dyDescent="0.25">
      <c r="A274" s="139"/>
      <c r="B274" s="139"/>
      <c r="C274" s="62"/>
      <c r="D274" s="963"/>
      <c r="E274" s="1078"/>
      <c r="F274" s="1080" t="s">
        <v>93</v>
      </c>
      <c r="G274" s="955"/>
      <c r="H274" s="955"/>
      <c r="I274" s="1023"/>
      <c r="J274" s="1023"/>
      <c r="K274" s="1081"/>
      <c r="L274" s="1081"/>
      <c r="M274" s="1081"/>
      <c r="N274" s="955"/>
      <c r="O274" s="1"/>
      <c r="P274" s="1"/>
      <c r="R274" s="19"/>
      <c r="S274" s="19"/>
      <c r="T274" s="19"/>
    </row>
    <row r="275" spans="1:20" s="3" customFormat="1" ht="16.5" customHeight="1" x14ac:dyDescent="0.25">
      <c r="A275" s="139"/>
      <c r="B275" s="139"/>
      <c r="C275" s="62"/>
      <c r="D275" s="963"/>
      <c r="E275" s="1078"/>
      <c r="F275" s="1082" t="s">
        <v>93</v>
      </c>
      <c r="G275" s="955"/>
      <c r="H275" s="955"/>
      <c r="I275" s="1023"/>
      <c r="J275" s="1023"/>
      <c r="K275" s="983">
        <f>-'Note 6 (cont) '!I16</f>
        <v>1673</v>
      </c>
      <c r="L275" s="983"/>
      <c r="M275" s="983">
        <f>-'Note 6 (cont) '!I68</f>
        <v>1639</v>
      </c>
      <c r="N275" s="955"/>
      <c r="O275" s="1"/>
      <c r="P275" s="1"/>
      <c r="R275" s="19"/>
      <c r="S275" s="19"/>
      <c r="T275" s="19"/>
    </row>
    <row r="276" spans="1:20" s="3" customFormat="1" ht="16.5" customHeight="1" x14ac:dyDescent="0.25">
      <c r="A276" s="139"/>
      <c r="B276" s="139"/>
      <c r="C276" s="62"/>
      <c r="D276" s="963"/>
      <c r="E276" s="1078"/>
      <c r="F276" s="1082" t="s">
        <v>533</v>
      </c>
      <c r="G276" s="955"/>
      <c r="H276" s="955"/>
      <c r="I276" s="1023"/>
      <c r="J276" s="1023"/>
      <c r="K276" s="983">
        <f>-'Note 6 (cont) '!I17</f>
        <v>195</v>
      </c>
      <c r="L276" s="983"/>
      <c r="M276" s="983">
        <f>-'Note 6 (cont) '!I69</f>
        <v>193</v>
      </c>
      <c r="N276" s="955"/>
      <c r="O276" s="1"/>
      <c r="P276" s="1"/>
      <c r="R276" s="19"/>
      <c r="S276" s="19"/>
      <c r="T276" s="19"/>
    </row>
    <row r="277" spans="1:20" s="3" customFormat="1" ht="16.5" customHeight="1" x14ac:dyDescent="0.25">
      <c r="A277" s="139"/>
      <c r="B277" s="139"/>
      <c r="C277" s="62"/>
      <c r="D277" s="963"/>
      <c r="E277" s="1083"/>
      <c r="F277" s="1082" t="s">
        <v>255</v>
      </c>
      <c r="G277" s="955"/>
      <c r="H277" s="955"/>
      <c r="I277" s="1023"/>
      <c r="J277" s="1023"/>
      <c r="K277" s="983">
        <f>'Note 6 (cont) '!I18</f>
        <v>0</v>
      </c>
      <c r="L277" s="983"/>
      <c r="M277" s="983">
        <f>'Note 6 (cont) '!I70</f>
        <v>0</v>
      </c>
      <c r="N277" s="955"/>
      <c r="O277" s="1"/>
      <c r="P277" s="1"/>
      <c r="R277" s="19"/>
      <c r="S277" s="19"/>
      <c r="T277" s="19"/>
    </row>
    <row r="278" spans="1:20" s="3" customFormat="1" ht="16.5" customHeight="1" x14ac:dyDescent="0.25">
      <c r="A278" s="139"/>
      <c r="B278" s="139"/>
      <c r="C278" s="62"/>
      <c r="D278" s="963"/>
      <c r="E278" s="1083"/>
      <c r="F278" s="1082" t="s">
        <v>453</v>
      </c>
      <c r="G278" s="955"/>
      <c r="H278" s="955"/>
      <c r="I278" s="1023"/>
      <c r="J278" s="1023"/>
      <c r="K278" s="983">
        <f>-'Note 6 (cont) '!I19</f>
        <v>141</v>
      </c>
      <c r="L278" s="983"/>
      <c r="M278" s="983">
        <f>-'Note 6 (cont) '!I71</f>
        <v>137</v>
      </c>
      <c r="N278" s="955"/>
      <c r="O278" s="1"/>
      <c r="P278" s="1"/>
      <c r="R278" s="19"/>
      <c r="S278" s="19"/>
      <c r="T278" s="19"/>
    </row>
    <row r="279" spans="1:20" s="3" customFormat="1" ht="16.5" customHeight="1" x14ac:dyDescent="0.25">
      <c r="A279" s="139"/>
      <c r="B279" s="139"/>
      <c r="C279" s="62"/>
      <c r="D279" s="963"/>
      <c r="E279" s="1083"/>
      <c r="F279" s="1084" t="s">
        <v>120</v>
      </c>
      <c r="G279" s="955"/>
      <c r="H279" s="955"/>
      <c r="I279" s="1023"/>
      <c r="J279" s="1023"/>
      <c r="K279" s="983"/>
      <c r="L279" s="983"/>
      <c r="M279" s="983"/>
      <c r="N279" s="955"/>
      <c r="O279" s="1"/>
      <c r="P279" s="1"/>
      <c r="R279" s="19"/>
      <c r="S279" s="19"/>
      <c r="T279" s="19"/>
    </row>
    <row r="280" spans="1:20" s="3" customFormat="1" ht="16.5" customHeight="1" x14ac:dyDescent="0.25">
      <c r="A280" s="139"/>
      <c r="B280" s="139"/>
      <c r="C280" s="62"/>
      <c r="D280" s="963"/>
      <c r="E280" s="1083"/>
      <c r="F280" s="1082" t="s">
        <v>534</v>
      </c>
      <c r="G280" s="955"/>
      <c r="H280" s="955"/>
      <c r="I280" s="1023"/>
      <c r="J280" s="1023"/>
      <c r="K280" s="983">
        <f>-'Note 6 (cont) '!I24</f>
        <v>2194</v>
      </c>
      <c r="L280" s="983"/>
      <c r="M280" s="983">
        <f>-'Note 6 (cont) '!I76</f>
        <v>2129</v>
      </c>
      <c r="N280" s="955"/>
      <c r="O280" s="1"/>
      <c r="P280" s="1"/>
      <c r="R280" s="19"/>
      <c r="S280" s="19"/>
      <c r="T280" s="19"/>
    </row>
    <row r="281" spans="1:20" s="3" customFormat="1" ht="16.5" customHeight="1" x14ac:dyDescent="0.25">
      <c r="A281" s="139"/>
      <c r="B281" s="139"/>
      <c r="C281" s="62"/>
      <c r="D281" s="963"/>
      <c r="E281" s="1083"/>
      <c r="F281" s="1082" t="s">
        <v>536</v>
      </c>
      <c r="G281" s="955"/>
      <c r="H281" s="955"/>
      <c r="I281" s="1023"/>
      <c r="J281" s="1023"/>
      <c r="K281" s="983">
        <f>-'Note 6 (cont) '!I25</f>
        <v>1712</v>
      </c>
      <c r="L281" s="983"/>
      <c r="M281" s="983">
        <f>-'Note 6 (cont) '!I77</f>
        <v>1669</v>
      </c>
      <c r="N281" s="955"/>
      <c r="O281" s="1"/>
      <c r="P281" s="1"/>
      <c r="R281" s="19"/>
      <c r="S281" s="19"/>
      <c r="T281" s="19"/>
    </row>
    <row r="282" spans="1:20" s="3" customFormat="1" ht="16.5" customHeight="1" x14ac:dyDescent="0.25">
      <c r="A282" s="139"/>
      <c r="B282" s="139"/>
      <c r="C282" s="62"/>
      <c r="D282" s="963"/>
      <c r="E282" s="1083"/>
      <c r="F282" s="1082" t="s">
        <v>535</v>
      </c>
      <c r="G282" s="955"/>
      <c r="H282" s="955"/>
      <c r="I282" s="1023"/>
      <c r="J282" s="1023"/>
      <c r="K282" s="983">
        <f>-'Note 6 (cont) '!I26</f>
        <v>305</v>
      </c>
      <c r="L282" s="983"/>
      <c r="M282" s="983">
        <f>-'Note 6 (cont) '!I78</f>
        <v>297</v>
      </c>
      <c r="N282" s="955"/>
      <c r="O282" s="1"/>
      <c r="P282" s="1"/>
      <c r="R282" s="19"/>
      <c r="S282" s="19"/>
      <c r="T282" s="19"/>
    </row>
    <row r="283" spans="1:20" s="3" customFormat="1" ht="16.5" customHeight="1" x14ac:dyDescent="0.25">
      <c r="A283" s="139"/>
      <c r="B283" s="139"/>
      <c r="C283" s="62"/>
      <c r="D283" s="963"/>
      <c r="E283" s="1083"/>
      <c r="F283" s="1082" t="s">
        <v>375</v>
      </c>
      <c r="G283" s="955"/>
      <c r="H283" s="955"/>
      <c r="I283" s="1023"/>
      <c r="J283" s="1023"/>
      <c r="K283" s="983">
        <f>'Note 6 (cont) '!I27</f>
        <v>0</v>
      </c>
      <c r="L283" s="983"/>
      <c r="M283" s="983">
        <f>'Note 6 (cont) '!I79</f>
        <v>0</v>
      </c>
      <c r="N283" s="955"/>
      <c r="O283" s="1"/>
      <c r="P283" s="1"/>
      <c r="R283" s="19"/>
      <c r="S283" s="19"/>
      <c r="T283" s="19"/>
    </row>
    <row r="284" spans="1:20" s="3" customFormat="1" ht="16.5" customHeight="1" x14ac:dyDescent="0.25">
      <c r="A284" s="139"/>
      <c r="B284" s="139"/>
      <c r="C284" s="62"/>
      <c r="D284" s="963"/>
      <c r="E284" s="1083"/>
      <c r="F284" s="1082" t="s">
        <v>374</v>
      </c>
      <c r="G284" s="955"/>
      <c r="H284" s="955"/>
      <c r="I284" s="1023"/>
      <c r="J284" s="1023"/>
      <c r="K284" s="983">
        <f>-'Note 6 (cont) '!I28</f>
        <v>11</v>
      </c>
      <c r="L284" s="983"/>
      <c r="M284" s="983">
        <f>-'Note 6 (cont) '!I80</f>
        <v>11</v>
      </c>
      <c r="N284" s="955"/>
      <c r="O284" s="1"/>
      <c r="P284" s="1"/>
      <c r="R284" s="19"/>
      <c r="S284" s="19"/>
      <c r="T284" s="19"/>
    </row>
    <row r="285" spans="1:20" s="3" customFormat="1" ht="16.5" customHeight="1" x14ac:dyDescent="0.25">
      <c r="A285" s="139"/>
      <c r="B285" s="139"/>
      <c r="C285" s="62"/>
      <c r="D285" s="963"/>
      <c r="E285" s="1083"/>
      <c r="F285" s="1084" t="s">
        <v>94</v>
      </c>
      <c r="G285" s="955"/>
      <c r="H285" s="955"/>
      <c r="I285" s="1023"/>
      <c r="J285" s="1023"/>
      <c r="K285" s="983"/>
      <c r="L285" s="983"/>
      <c r="M285" s="983"/>
      <c r="N285" s="955"/>
      <c r="O285" s="1"/>
      <c r="P285" s="1"/>
      <c r="R285" s="19"/>
      <c r="S285" s="19"/>
      <c r="T285" s="19"/>
    </row>
    <row r="286" spans="1:20" s="3" customFormat="1" ht="16.5" customHeight="1" x14ac:dyDescent="0.25">
      <c r="A286" s="139"/>
      <c r="B286" s="139"/>
      <c r="C286" s="62"/>
      <c r="D286" s="963"/>
      <c r="E286" s="1083"/>
      <c r="F286" s="1082" t="s">
        <v>262</v>
      </c>
      <c r="G286" s="955"/>
      <c r="H286" s="955"/>
      <c r="I286" s="1023"/>
      <c r="J286" s="1023"/>
      <c r="K286" s="983">
        <f>-'Note 6 (cont) '!I32</f>
        <v>6900</v>
      </c>
      <c r="L286" s="983"/>
      <c r="M286" s="983">
        <f>-'Note 6 (cont) '!I84</f>
        <v>6728</v>
      </c>
      <c r="N286" s="955"/>
      <c r="O286" s="1"/>
      <c r="P286" s="1"/>
      <c r="R286" s="19"/>
      <c r="S286" s="19"/>
      <c r="T286" s="19"/>
    </row>
    <row r="287" spans="1:20" s="3" customFormat="1" ht="16.5" customHeight="1" x14ac:dyDescent="0.25">
      <c r="A287" s="139"/>
      <c r="B287" s="139"/>
      <c r="C287" s="62"/>
      <c r="D287" s="963"/>
      <c r="E287" s="1083"/>
      <c r="F287" s="1082" t="s">
        <v>614</v>
      </c>
      <c r="G287" s="955"/>
      <c r="H287" s="955"/>
      <c r="I287" s="1023"/>
      <c r="J287" s="1023"/>
      <c r="K287" s="983">
        <f>-'Note 6 (cont) '!I33</f>
        <v>250</v>
      </c>
      <c r="L287" s="983"/>
      <c r="M287" s="983">
        <f>-'Note 6 (cont) '!I85</f>
        <v>244</v>
      </c>
      <c r="N287" s="955"/>
      <c r="O287" s="1"/>
      <c r="P287" s="1"/>
      <c r="R287" s="19"/>
      <c r="S287" s="19"/>
      <c r="T287" s="19"/>
    </row>
    <row r="288" spans="1:20" s="3" customFormat="1" ht="16.5" customHeight="1" x14ac:dyDescent="0.25">
      <c r="A288" s="139"/>
      <c r="B288" s="139"/>
      <c r="C288" s="62"/>
      <c r="D288" s="963"/>
      <c r="E288" s="1083"/>
      <c r="F288" s="1082" t="s">
        <v>591</v>
      </c>
      <c r="G288" s="955"/>
      <c r="H288" s="955"/>
      <c r="I288" s="1023"/>
      <c r="J288" s="1023"/>
      <c r="K288" s="983">
        <f>-'Note 6 (cont) '!I34</f>
        <v>850</v>
      </c>
      <c r="L288" s="983"/>
      <c r="M288" s="983">
        <f>-'Note 6 (cont) '!I86</f>
        <v>829</v>
      </c>
      <c r="N288" s="1085"/>
      <c r="O288" s="172"/>
      <c r="P288" s="1"/>
      <c r="R288" s="19"/>
      <c r="S288" s="19"/>
      <c r="T288" s="19"/>
    </row>
    <row r="289" spans="1:20" s="3" customFormat="1" ht="16.5" customHeight="1" x14ac:dyDescent="0.25">
      <c r="A289" s="139"/>
      <c r="B289" s="139"/>
      <c r="C289" s="62"/>
      <c r="D289" s="963"/>
      <c r="E289" s="1083"/>
      <c r="F289" s="1082" t="s">
        <v>348</v>
      </c>
      <c r="G289" s="955"/>
      <c r="H289" s="955"/>
      <c r="I289" s="1023"/>
      <c r="J289" s="1023"/>
      <c r="K289" s="983">
        <f>-'Note 6 (cont) '!I35</f>
        <v>660</v>
      </c>
      <c r="L289" s="983"/>
      <c r="M289" s="983">
        <f>-'Note 6 (cont) '!I87</f>
        <v>644</v>
      </c>
      <c r="N289" s="1085"/>
      <c r="O289" s="172"/>
      <c r="P289" s="1"/>
      <c r="R289" s="19"/>
      <c r="S289" s="19"/>
      <c r="T289" s="19"/>
    </row>
    <row r="290" spans="1:20" s="3" customFormat="1" ht="16.5" customHeight="1" x14ac:dyDescent="0.25">
      <c r="A290" s="139"/>
      <c r="B290" s="139"/>
      <c r="C290" s="62"/>
      <c r="D290" s="963"/>
      <c r="E290" s="1083"/>
      <c r="F290" s="1086" t="s">
        <v>592</v>
      </c>
      <c r="G290" s="955"/>
      <c r="H290" s="955"/>
      <c r="I290" s="955"/>
      <c r="J290" s="955"/>
      <c r="K290" s="983">
        <f>'Note 6 (cont) '!I36</f>
        <v>0</v>
      </c>
      <c r="L290" s="972"/>
      <c r="M290" s="983">
        <f>'Note 6 (cont) '!I88</f>
        <v>0</v>
      </c>
      <c r="N290" s="1085"/>
      <c r="O290" s="172"/>
      <c r="P290" s="1"/>
      <c r="R290" s="19"/>
      <c r="S290" s="19"/>
      <c r="T290" s="19"/>
    </row>
    <row r="291" spans="1:20" s="3" customFormat="1" ht="16.5" customHeight="1" x14ac:dyDescent="0.25">
      <c r="A291" s="139"/>
      <c r="B291" s="139"/>
      <c r="C291" s="62"/>
      <c r="D291" s="963"/>
      <c r="E291" s="1083"/>
      <c r="F291" s="1086" t="s">
        <v>577</v>
      </c>
      <c r="G291" s="955"/>
      <c r="H291" s="955"/>
      <c r="I291" s="955"/>
      <c r="J291" s="955"/>
      <c r="K291" s="983">
        <f>'Note 6 (cont) '!I37</f>
        <v>0</v>
      </c>
      <c r="L291" s="972"/>
      <c r="M291" s="983">
        <f>'Note 6 (cont) '!I89</f>
        <v>0</v>
      </c>
      <c r="N291" s="1085"/>
      <c r="O291" s="172"/>
      <c r="P291" s="1"/>
      <c r="R291" s="19"/>
      <c r="S291" s="19"/>
      <c r="T291" s="19"/>
    </row>
    <row r="292" spans="1:20" s="3" customFormat="1" ht="16.5" customHeight="1" x14ac:dyDescent="0.25">
      <c r="A292" s="139"/>
      <c r="B292" s="139"/>
      <c r="C292" s="62"/>
      <c r="D292" s="963"/>
      <c r="E292" s="1083"/>
      <c r="F292" s="1086" t="s">
        <v>376</v>
      </c>
      <c r="G292" s="955"/>
      <c r="H292" s="955"/>
      <c r="I292" s="1023"/>
      <c r="J292" s="1023"/>
      <c r="K292" s="983">
        <f>'Note 6 (cont) '!I38</f>
        <v>0</v>
      </c>
      <c r="L292" s="983"/>
      <c r="M292" s="983">
        <f>'Note 6 (cont) '!I91</f>
        <v>0</v>
      </c>
      <c r="N292" s="1085"/>
      <c r="O292" s="172"/>
      <c r="P292" s="1"/>
      <c r="R292" s="19"/>
      <c r="S292" s="19"/>
      <c r="T292" s="19"/>
    </row>
    <row r="293" spans="1:20" s="3" customFormat="1" ht="16.5" customHeight="1" x14ac:dyDescent="0.25">
      <c r="A293" s="139"/>
      <c r="B293" s="139"/>
      <c r="C293" s="62"/>
      <c r="D293" s="963"/>
      <c r="E293" s="1083"/>
      <c r="F293" s="1087" t="s">
        <v>1860</v>
      </c>
      <c r="G293" s="1036"/>
      <c r="H293" s="1036"/>
      <c r="I293" s="1074"/>
      <c r="J293" s="1074"/>
      <c r="K293" s="1038">
        <f>'Note 6 (cont) '!I39</f>
        <v>0</v>
      </c>
      <c r="L293" s="1038"/>
      <c r="M293" s="1038">
        <f>'Note 6 (cont) '!I92</f>
        <v>0</v>
      </c>
      <c r="N293" s="1085"/>
      <c r="O293" s="172"/>
      <c r="P293" s="1"/>
      <c r="R293" s="19"/>
      <c r="S293" s="19"/>
      <c r="T293" s="19"/>
    </row>
    <row r="294" spans="1:20" s="246" customFormat="1" ht="5.25" customHeight="1" x14ac:dyDescent="0.25">
      <c r="A294" s="256"/>
      <c r="B294" s="256"/>
      <c r="C294" s="62"/>
      <c r="D294" s="963"/>
      <c r="E294" s="1083"/>
      <c r="F294" s="1023"/>
      <c r="G294" s="973"/>
      <c r="H294" s="1039"/>
      <c r="I294" s="1023"/>
      <c r="J294" s="1023"/>
      <c r="K294" s="1005"/>
      <c r="L294" s="1005"/>
      <c r="M294" s="1005"/>
      <c r="N294" s="1088"/>
      <c r="O294" s="129"/>
      <c r="P294" s="1"/>
      <c r="R294" s="19"/>
      <c r="S294" s="19"/>
      <c r="T294" s="19"/>
    </row>
    <row r="295" spans="1:20" s="3" customFormat="1" ht="16.5" customHeight="1" x14ac:dyDescent="0.25">
      <c r="A295" s="139"/>
      <c r="B295" s="139"/>
      <c r="C295" s="62"/>
      <c r="D295" s="963"/>
      <c r="E295" s="1083"/>
      <c r="F295" s="1089" t="s">
        <v>653</v>
      </c>
      <c r="G295" s="955"/>
      <c r="H295" s="955"/>
      <c r="I295" s="1023"/>
      <c r="J295" s="1023"/>
      <c r="K295" s="983"/>
      <c r="L295" s="983"/>
      <c r="M295" s="983"/>
      <c r="N295" s="1085"/>
      <c r="O295" s="1"/>
      <c r="P295" s="1"/>
      <c r="R295" s="19"/>
      <c r="S295" s="19"/>
      <c r="T295" s="19"/>
    </row>
    <row r="296" spans="1:20" s="3" customFormat="1" ht="16.5" customHeight="1" x14ac:dyDescent="0.25">
      <c r="A296" s="139">
        <v>138</v>
      </c>
      <c r="B296" s="139" t="s">
        <v>219</v>
      </c>
      <c r="C296" s="62"/>
      <c r="D296" s="963"/>
      <c r="E296" s="1083"/>
      <c r="F296" s="1082" t="s">
        <v>653</v>
      </c>
      <c r="G296" s="955"/>
      <c r="H296" s="955"/>
      <c r="I296" s="1023"/>
      <c r="J296" s="1023"/>
      <c r="K296" s="983">
        <v>0</v>
      </c>
      <c r="L296" s="983"/>
      <c r="M296" s="983">
        <v>0</v>
      </c>
      <c r="N296" s="1085"/>
      <c r="O296" s="172"/>
      <c r="P296" s="1"/>
      <c r="R296" s="19"/>
      <c r="S296" s="19"/>
      <c r="T296" s="19"/>
    </row>
    <row r="297" spans="1:20" s="246" customFormat="1" ht="16.5" customHeight="1" x14ac:dyDescent="0.25">
      <c r="A297" s="628">
        <v>16</v>
      </c>
      <c r="B297" s="628" t="s">
        <v>1492</v>
      </c>
      <c r="C297" s="62"/>
      <c r="D297" s="963"/>
      <c r="E297" s="1083"/>
      <c r="F297" s="1011" t="s">
        <v>1448</v>
      </c>
      <c r="G297" s="955"/>
      <c r="H297" s="955"/>
      <c r="I297" s="1023"/>
      <c r="J297" s="1023"/>
      <c r="K297" s="983"/>
      <c r="L297" s="983"/>
      <c r="M297" s="983"/>
      <c r="N297" s="1085"/>
      <c r="O297" s="172"/>
      <c r="P297" s="1"/>
      <c r="R297" s="19"/>
      <c r="S297" s="19"/>
      <c r="T297" s="19"/>
    </row>
    <row r="298" spans="1:20" s="246" customFormat="1" ht="16.5" customHeight="1" x14ac:dyDescent="0.25">
      <c r="A298" s="628"/>
      <c r="B298" s="628"/>
      <c r="C298" s="62"/>
      <c r="D298" s="963"/>
      <c r="E298" s="1083"/>
      <c r="F298" s="1082" t="s">
        <v>1448</v>
      </c>
      <c r="G298" s="955"/>
      <c r="H298" s="955"/>
      <c r="I298" s="1023"/>
      <c r="J298" s="1023"/>
      <c r="K298" s="983">
        <f>-'Note 6 to 8'!S67</f>
        <v>4000</v>
      </c>
      <c r="L298" s="983"/>
      <c r="M298" s="983">
        <f>-'Note 6 to 8'!S74</f>
        <v>4000</v>
      </c>
      <c r="N298" s="1085"/>
      <c r="O298" s="172"/>
      <c r="P298" s="1"/>
      <c r="R298" s="19"/>
      <c r="S298" s="19"/>
      <c r="T298" s="19"/>
    </row>
    <row r="299" spans="1:20" s="3" customFormat="1" ht="16.5" customHeight="1" x14ac:dyDescent="0.25">
      <c r="A299" s="139"/>
      <c r="B299" s="139"/>
      <c r="C299" s="62"/>
      <c r="D299" s="963"/>
      <c r="E299" s="1083"/>
      <c r="F299" s="1049" t="s">
        <v>399</v>
      </c>
      <c r="G299" s="955"/>
      <c r="H299" s="955"/>
      <c r="I299" s="1023"/>
      <c r="J299" s="1023"/>
      <c r="K299" s="1024">
        <f>SUM(K273:K298)</f>
        <v>19187</v>
      </c>
      <c r="L299" s="1005"/>
      <c r="M299" s="1024">
        <f>SUM(M273:M298)</f>
        <v>18809</v>
      </c>
      <c r="N299" s="1088"/>
      <c r="O299" s="129"/>
      <c r="P299" s="1"/>
      <c r="R299" s="19"/>
      <c r="S299" s="19"/>
      <c r="T299" s="19"/>
    </row>
    <row r="300" spans="1:20" s="246" customFormat="1" ht="7.5" customHeight="1" thickBot="1" x14ac:dyDescent="0.3">
      <c r="A300" s="666"/>
      <c r="B300" s="666"/>
      <c r="C300" s="62"/>
      <c r="D300" s="963"/>
      <c r="E300" s="1083"/>
      <c r="F300" s="1023"/>
      <c r="G300" s="973"/>
      <c r="H300" s="1039"/>
      <c r="I300" s="1023"/>
      <c r="J300" s="1023"/>
      <c r="K300" s="1005"/>
      <c r="L300" s="1005"/>
      <c r="M300" s="1005"/>
      <c r="N300" s="1088"/>
      <c r="O300" s="129"/>
      <c r="P300" s="1"/>
      <c r="R300" s="19"/>
      <c r="S300" s="19"/>
      <c r="T300" s="19"/>
    </row>
    <row r="301" spans="1:20" s="246" customFormat="1" ht="16.5" customHeight="1" x14ac:dyDescent="0.25">
      <c r="A301" s="256"/>
      <c r="B301" s="256"/>
      <c r="C301" s="62"/>
      <c r="D301" s="963"/>
      <c r="E301" s="1083"/>
      <c r="F301" s="1067" t="s">
        <v>1133</v>
      </c>
      <c r="G301" s="1068"/>
      <c r="H301" s="1068"/>
      <c r="I301" s="1068"/>
      <c r="J301" s="1068"/>
      <c r="K301" s="1068"/>
      <c r="L301" s="1068"/>
      <c r="M301" s="1069"/>
      <c r="N301" s="1088"/>
      <c r="O301" s="129"/>
      <c r="P301" s="1"/>
      <c r="R301" s="19"/>
      <c r="S301" s="19"/>
      <c r="T301" s="19"/>
    </row>
    <row r="302" spans="1:20" s="246" customFormat="1" ht="7.5" customHeight="1" x14ac:dyDescent="0.25">
      <c r="A302" s="256"/>
      <c r="B302" s="256"/>
      <c r="C302" s="62"/>
      <c r="D302" s="963"/>
      <c r="E302" s="1083"/>
      <c r="F302" s="1028"/>
      <c r="G302" s="1070"/>
      <c r="H302" s="1070"/>
      <c r="I302" s="1070"/>
      <c r="J302" s="1070"/>
      <c r="K302" s="1070"/>
      <c r="L302" s="1070"/>
      <c r="M302" s="1071"/>
      <c r="N302" s="1088"/>
      <c r="O302" s="129"/>
      <c r="P302" s="1"/>
      <c r="R302" s="19"/>
      <c r="S302" s="19"/>
      <c r="T302" s="19"/>
    </row>
    <row r="303" spans="1:20" s="246" customFormat="1" ht="16.5" customHeight="1" x14ac:dyDescent="0.25">
      <c r="A303" s="256"/>
      <c r="B303" s="256"/>
      <c r="C303" s="62"/>
      <c r="D303" s="963"/>
      <c r="E303" s="1083"/>
      <c r="F303" s="1028" t="s">
        <v>1139</v>
      </c>
      <c r="G303" s="1070"/>
      <c r="H303" s="1070"/>
      <c r="I303" s="1070"/>
      <c r="J303" s="1070"/>
      <c r="K303" s="1070"/>
      <c r="L303" s="1070"/>
      <c r="M303" s="1071"/>
      <c r="N303" s="1088"/>
      <c r="O303" s="129"/>
      <c r="P303" s="1"/>
      <c r="R303" s="19"/>
      <c r="S303" s="19"/>
      <c r="T303" s="19"/>
    </row>
    <row r="304" spans="1:20" s="246" customFormat="1" ht="33.75" customHeight="1" x14ac:dyDescent="0.25">
      <c r="A304" s="256"/>
      <c r="B304" s="256"/>
      <c r="C304" s="62"/>
      <c r="D304" s="963"/>
      <c r="E304" s="1083"/>
      <c r="F304" s="2132" t="s">
        <v>1196</v>
      </c>
      <c r="G304" s="2133"/>
      <c r="H304" s="2133"/>
      <c r="I304" s="2133"/>
      <c r="J304" s="2133"/>
      <c r="K304" s="2133"/>
      <c r="L304" s="2133"/>
      <c r="M304" s="2134"/>
      <c r="N304" s="955"/>
      <c r="O304" s="302"/>
      <c r="P304" s="1"/>
      <c r="R304" s="19"/>
      <c r="S304" s="19"/>
      <c r="T304" s="19"/>
    </row>
    <row r="305" spans="1:20" s="246" customFormat="1" ht="74.25" customHeight="1" x14ac:dyDescent="0.25">
      <c r="A305" s="256" t="s">
        <v>169</v>
      </c>
      <c r="B305" s="256" t="s">
        <v>170</v>
      </c>
      <c r="C305" s="62"/>
      <c r="D305" s="963"/>
      <c r="E305" s="1083"/>
      <c r="F305" s="2132" t="s">
        <v>1769</v>
      </c>
      <c r="G305" s="2133"/>
      <c r="H305" s="2133"/>
      <c r="I305" s="2133"/>
      <c r="J305" s="2133"/>
      <c r="K305" s="2133"/>
      <c r="L305" s="2133"/>
      <c r="M305" s="2134"/>
      <c r="N305" s="1088"/>
      <c r="O305" s="675"/>
      <c r="P305" s="1"/>
      <c r="R305" s="19"/>
      <c r="S305" s="19"/>
      <c r="T305" s="19"/>
    </row>
    <row r="306" spans="1:20" s="246" customFormat="1" ht="30.75" customHeight="1" x14ac:dyDescent="0.25">
      <c r="A306" s="256"/>
      <c r="B306" s="256"/>
      <c r="C306" s="62"/>
      <c r="D306" s="963"/>
      <c r="E306" s="1083"/>
      <c r="F306" s="2132" t="s">
        <v>1117</v>
      </c>
      <c r="G306" s="2133"/>
      <c r="H306" s="2133"/>
      <c r="I306" s="2133"/>
      <c r="J306" s="2133"/>
      <c r="K306" s="2133"/>
      <c r="L306" s="2133"/>
      <c r="M306" s="2134"/>
      <c r="N306" s="1088"/>
      <c r="O306" s="129"/>
      <c r="P306" s="1"/>
      <c r="R306" s="19"/>
      <c r="S306" s="19"/>
      <c r="T306" s="19"/>
    </row>
    <row r="307" spans="1:20" s="246" customFormat="1" ht="32.25" customHeight="1" x14ac:dyDescent="0.25">
      <c r="A307" s="256" t="s">
        <v>580</v>
      </c>
      <c r="B307" s="256" t="s">
        <v>683</v>
      </c>
      <c r="C307" s="62"/>
      <c r="D307" s="963"/>
      <c r="E307" s="1083"/>
      <c r="F307" s="2132" t="s">
        <v>1160</v>
      </c>
      <c r="G307" s="2133"/>
      <c r="H307" s="2133"/>
      <c r="I307" s="2133"/>
      <c r="J307" s="2133"/>
      <c r="K307" s="2133"/>
      <c r="L307" s="2133"/>
      <c r="M307" s="2134"/>
      <c r="N307" s="1088"/>
      <c r="O307" s="129"/>
      <c r="P307" s="1"/>
      <c r="R307" s="19"/>
      <c r="S307" s="19"/>
      <c r="T307" s="19"/>
    </row>
    <row r="308" spans="1:20" s="246" customFormat="1" ht="47.25" customHeight="1" x14ac:dyDescent="0.25">
      <c r="A308" s="256"/>
      <c r="B308" s="256"/>
      <c r="C308" s="62"/>
      <c r="D308" s="963"/>
      <c r="E308" s="1083"/>
      <c r="F308" s="2179" t="s">
        <v>727</v>
      </c>
      <c r="G308" s="2180"/>
      <c r="H308" s="2180"/>
      <c r="I308" s="2180"/>
      <c r="J308" s="2180"/>
      <c r="K308" s="2180"/>
      <c r="L308" s="2180"/>
      <c r="M308" s="2181"/>
      <c r="N308" s="1088"/>
      <c r="O308" s="129"/>
      <c r="P308" s="1"/>
      <c r="R308" s="19"/>
      <c r="S308" s="19"/>
      <c r="T308" s="19"/>
    </row>
    <row r="309" spans="1:20" s="246" customFormat="1" ht="16.5" customHeight="1" x14ac:dyDescent="0.25">
      <c r="A309" s="256" t="s">
        <v>169</v>
      </c>
      <c r="B309" s="256" t="s">
        <v>726</v>
      </c>
      <c r="C309" s="62"/>
      <c r="D309" s="963"/>
      <c r="E309" s="1083"/>
      <c r="F309" s="1090" t="s">
        <v>324</v>
      </c>
      <c r="G309" s="1091"/>
      <c r="H309" s="1091"/>
      <c r="I309" s="1091"/>
      <c r="J309" s="1091"/>
      <c r="K309" s="1091"/>
      <c r="L309" s="1091"/>
      <c r="M309" s="1092"/>
      <c r="N309" s="1088"/>
      <c r="O309" s="129"/>
      <c r="P309" s="1"/>
      <c r="R309" s="19"/>
      <c r="S309" s="19"/>
      <c r="T309" s="19"/>
    </row>
    <row r="310" spans="1:20" s="246" customFormat="1" ht="16.5" customHeight="1" x14ac:dyDescent="0.25">
      <c r="A310" s="256">
        <v>116</v>
      </c>
      <c r="B310" s="256" t="s">
        <v>171</v>
      </c>
      <c r="C310" s="62"/>
      <c r="D310" s="963"/>
      <c r="E310" s="1083"/>
      <c r="F310" s="1090" t="s">
        <v>1604</v>
      </c>
      <c r="G310" s="1091"/>
      <c r="H310" s="1091"/>
      <c r="I310" s="1091"/>
      <c r="J310" s="1091"/>
      <c r="K310" s="1091"/>
      <c r="L310" s="1091"/>
      <c r="M310" s="1092"/>
      <c r="N310" s="1088"/>
      <c r="O310" s="129"/>
      <c r="P310" s="1"/>
      <c r="R310" s="19"/>
      <c r="S310" s="19"/>
      <c r="T310" s="19"/>
    </row>
    <row r="311" spans="1:20" s="246" customFormat="1" ht="6.75" customHeight="1" x14ac:dyDescent="0.25">
      <c r="A311" s="256"/>
      <c r="B311" s="256"/>
      <c r="C311" s="62"/>
      <c r="D311" s="963"/>
      <c r="E311" s="1083"/>
      <c r="F311" s="1094"/>
      <c r="G311" s="1095"/>
      <c r="H311" s="1095"/>
      <c r="I311" s="1091"/>
      <c r="J311" s="1091"/>
      <c r="K311" s="1091"/>
      <c r="L311" s="1091"/>
      <c r="M311" s="1096"/>
      <c r="N311" s="1088"/>
      <c r="O311" s="129"/>
      <c r="P311" s="1"/>
      <c r="R311" s="19"/>
      <c r="S311" s="19"/>
      <c r="T311" s="19"/>
    </row>
    <row r="312" spans="1:20" s="246" customFormat="1" ht="14.4" x14ac:dyDescent="0.25">
      <c r="A312" s="715"/>
      <c r="B312" s="715"/>
      <c r="C312" s="62"/>
      <c r="D312" s="963"/>
      <c r="E312" s="1083"/>
      <c r="F312" s="1097" t="s">
        <v>452</v>
      </c>
      <c r="G312" s="1095"/>
      <c r="H312" s="1095"/>
      <c r="I312" s="1091"/>
      <c r="J312" s="1091"/>
      <c r="K312" s="1091"/>
      <c r="L312" s="1091"/>
      <c r="M312" s="1093" t="s">
        <v>430</v>
      </c>
      <c r="N312" s="1088"/>
      <c r="O312" s="129"/>
      <c r="P312" s="1"/>
      <c r="R312" s="19"/>
      <c r="S312" s="19"/>
      <c r="T312" s="19"/>
    </row>
    <row r="313" spans="1:20" s="246" customFormat="1" ht="16.5" customHeight="1" x14ac:dyDescent="0.25">
      <c r="A313" s="256"/>
      <c r="B313" s="256"/>
      <c r="C313" s="62"/>
      <c r="D313" s="963"/>
      <c r="E313" s="1083"/>
      <c r="F313" s="1098" t="s">
        <v>199</v>
      </c>
      <c r="G313" s="1099"/>
      <c r="H313" s="1099"/>
      <c r="I313" s="1091"/>
      <c r="J313" s="1091"/>
      <c r="K313" s="1091"/>
      <c r="L313" s="1100"/>
      <c r="M313" s="1096" t="s">
        <v>200</v>
      </c>
      <c r="N313" s="1088"/>
      <c r="O313" s="129"/>
      <c r="P313" s="1"/>
      <c r="R313" s="19"/>
      <c r="S313" s="19"/>
      <c r="T313" s="19"/>
    </row>
    <row r="314" spans="1:20" s="246" customFormat="1" ht="16.5" customHeight="1" x14ac:dyDescent="0.25">
      <c r="A314" s="256"/>
      <c r="B314" s="256"/>
      <c r="C314" s="62"/>
      <c r="D314" s="963"/>
      <c r="E314" s="1083"/>
      <c r="F314" s="1101" t="s">
        <v>93</v>
      </c>
      <c r="G314" s="1091"/>
      <c r="H314" s="1091"/>
      <c r="I314" s="1091"/>
      <c r="J314" s="1091"/>
      <c r="K314" s="1091"/>
      <c r="L314" s="1102"/>
      <c r="M314" s="1103"/>
      <c r="N314" s="1088"/>
      <c r="O314" s="129"/>
      <c r="P314" s="1"/>
      <c r="R314" s="19"/>
      <c r="S314" s="19"/>
      <c r="T314" s="19"/>
    </row>
    <row r="315" spans="1:20" s="246" customFormat="1" ht="16.5" customHeight="1" x14ac:dyDescent="0.25">
      <c r="A315" s="256"/>
      <c r="B315" s="256"/>
      <c r="C315" s="62"/>
      <c r="D315" s="963"/>
      <c r="E315" s="1083"/>
      <c r="F315" s="1098" t="s">
        <v>1417</v>
      </c>
      <c r="G315" s="1099"/>
      <c r="H315" s="1099"/>
      <c r="I315" s="1091"/>
      <c r="J315" s="1091"/>
      <c r="K315" s="1091"/>
      <c r="L315" s="1100"/>
      <c r="M315" s="1096" t="s">
        <v>200</v>
      </c>
      <c r="N315" s="1088"/>
      <c r="O315" s="129"/>
      <c r="P315" s="1"/>
      <c r="R315" s="19"/>
      <c r="S315" s="19"/>
      <c r="T315" s="19"/>
    </row>
    <row r="316" spans="1:20" s="246" customFormat="1" ht="16.5" customHeight="1" x14ac:dyDescent="0.25">
      <c r="A316" s="256"/>
      <c r="B316" s="256"/>
      <c r="C316" s="62"/>
      <c r="D316" s="963"/>
      <c r="E316" s="1083"/>
      <c r="F316" s="1098" t="s">
        <v>1418</v>
      </c>
      <c r="G316" s="1099"/>
      <c r="H316" s="1099"/>
      <c r="I316" s="1091"/>
      <c r="J316" s="1091"/>
      <c r="K316" s="1091"/>
      <c r="L316" s="1100"/>
      <c r="M316" s="1096" t="s">
        <v>200</v>
      </c>
      <c r="N316" s="1088"/>
      <c r="O316" s="129"/>
      <c r="P316" s="1"/>
      <c r="R316" s="19"/>
      <c r="S316" s="19"/>
      <c r="T316" s="19"/>
    </row>
    <row r="317" spans="1:20" s="246" customFormat="1" ht="16.5" customHeight="1" x14ac:dyDescent="0.25">
      <c r="A317" s="256"/>
      <c r="B317" s="256"/>
      <c r="C317" s="62"/>
      <c r="D317" s="963"/>
      <c r="E317" s="1083"/>
      <c r="F317" s="1098" t="s">
        <v>1673</v>
      </c>
      <c r="G317" s="1099"/>
      <c r="H317" s="1099"/>
      <c r="I317" s="1091"/>
      <c r="J317" s="1091"/>
      <c r="K317" s="1091"/>
      <c r="L317" s="1100"/>
      <c r="M317" s="1096" t="s">
        <v>200</v>
      </c>
      <c r="N317" s="1088"/>
      <c r="O317" s="129"/>
      <c r="P317" s="1"/>
      <c r="R317" s="19"/>
      <c r="S317" s="19"/>
      <c r="T317" s="19"/>
    </row>
    <row r="318" spans="1:20" s="246" customFormat="1" ht="16.5" customHeight="1" x14ac:dyDescent="0.25">
      <c r="A318" s="256"/>
      <c r="B318" s="256"/>
      <c r="C318" s="62"/>
      <c r="D318" s="963"/>
      <c r="E318" s="1083"/>
      <c r="F318" s="1090" t="s">
        <v>120</v>
      </c>
      <c r="G318" s="1091"/>
      <c r="H318" s="1091"/>
      <c r="I318" s="1091"/>
      <c r="J318" s="1091"/>
      <c r="K318" s="1091"/>
      <c r="L318" s="1100"/>
      <c r="M318" s="1096"/>
      <c r="N318" s="1088"/>
      <c r="O318" s="129"/>
      <c r="P318" s="1"/>
      <c r="R318" s="19"/>
      <c r="S318" s="19"/>
      <c r="T318" s="19"/>
    </row>
    <row r="319" spans="1:20" s="246" customFormat="1" ht="16.5" customHeight="1" x14ac:dyDescent="0.25">
      <c r="A319" s="256"/>
      <c r="B319" s="256"/>
      <c r="C319" s="62"/>
      <c r="D319" s="963"/>
      <c r="E319" s="1083"/>
      <c r="F319" s="1098" t="s">
        <v>1674</v>
      </c>
      <c r="G319" s="1099"/>
      <c r="H319" s="1099"/>
      <c r="I319" s="1091"/>
      <c r="J319" s="1091"/>
      <c r="K319" s="1091"/>
      <c r="L319" s="1100"/>
      <c r="M319" s="1096" t="s">
        <v>200</v>
      </c>
      <c r="N319" s="1088"/>
      <c r="O319" s="129"/>
      <c r="P319" s="1"/>
      <c r="R319" s="19"/>
      <c r="S319" s="19"/>
      <c r="T319" s="19"/>
    </row>
    <row r="320" spans="1:20" s="246" customFormat="1" ht="16.5" customHeight="1" x14ac:dyDescent="0.25">
      <c r="A320" s="256"/>
      <c r="B320" s="256"/>
      <c r="C320" s="62"/>
      <c r="D320" s="963"/>
      <c r="E320" s="1083"/>
      <c r="F320" s="1098" t="s">
        <v>1675</v>
      </c>
      <c r="G320" s="1099"/>
      <c r="H320" s="1099"/>
      <c r="I320" s="1091"/>
      <c r="J320" s="1091"/>
      <c r="K320" s="1091"/>
      <c r="L320" s="1100"/>
      <c r="M320" s="1096" t="s">
        <v>200</v>
      </c>
      <c r="N320" s="1088"/>
      <c r="O320" s="129"/>
      <c r="P320" s="1"/>
      <c r="R320" s="19"/>
      <c r="S320" s="19"/>
      <c r="T320" s="19"/>
    </row>
    <row r="321" spans="1:20" s="246" customFormat="1" ht="16.5" customHeight="1" x14ac:dyDescent="0.25">
      <c r="A321" s="256"/>
      <c r="B321" s="256"/>
      <c r="C321" s="62"/>
      <c r="D321" s="963"/>
      <c r="E321" s="1083"/>
      <c r="F321" s="1098" t="s">
        <v>1676</v>
      </c>
      <c r="G321" s="1099"/>
      <c r="H321" s="1099"/>
      <c r="I321" s="1091"/>
      <c r="J321" s="1091"/>
      <c r="K321" s="1091"/>
      <c r="L321" s="1100"/>
      <c r="M321" s="1096" t="s">
        <v>200</v>
      </c>
      <c r="N321" s="1088"/>
      <c r="O321" s="129"/>
      <c r="P321" s="1"/>
      <c r="R321" s="19"/>
      <c r="S321" s="19"/>
      <c r="T321" s="19"/>
    </row>
    <row r="322" spans="1:20" s="246" customFormat="1" ht="16.5" customHeight="1" x14ac:dyDescent="0.25">
      <c r="A322" s="256"/>
      <c r="B322" s="256"/>
      <c r="C322" s="62"/>
      <c r="D322" s="963"/>
      <c r="E322" s="1083"/>
      <c r="F322" s="1098" t="s">
        <v>1677</v>
      </c>
      <c r="G322" s="1099"/>
      <c r="H322" s="1099"/>
      <c r="I322" s="1091"/>
      <c r="J322" s="1091"/>
      <c r="K322" s="1091"/>
      <c r="L322" s="1100"/>
      <c r="M322" s="1096" t="s">
        <v>200</v>
      </c>
      <c r="N322" s="1088"/>
      <c r="O322" s="129"/>
      <c r="P322" s="1"/>
      <c r="R322" s="19"/>
      <c r="S322" s="19"/>
      <c r="T322" s="19"/>
    </row>
    <row r="323" spans="1:20" s="246" customFormat="1" ht="16.5" customHeight="1" x14ac:dyDescent="0.25">
      <c r="A323" s="715"/>
      <c r="B323" s="715"/>
      <c r="C323" s="62"/>
      <c r="D323" s="963"/>
      <c r="E323" s="1083"/>
      <c r="F323" s="1104" t="s">
        <v>94</v>
      </c>
      <c r="G323" s="1099"/>
      <c r="H323" s="1099"/>
      <c r="I323" s="1091"/>
      <c r="J323" s="1091"/>
      <c r="K323" s="1091"/>
      <c r="L323" s="1100"/>
      <c r="M323" s="1096"/>
      <c r="N323" s="1088"/>
      <c r="O323" s="129"/>
      <c r="P323" s="1"/>
      <c r="R323" s="19"/>
      <c r="S323" s="19"/>
      <c r="T323" s="19"/>
    </row>
    <row r="324" spans="1:20" s="246" customFormat="1" ht="16.5" customHeight="1" x14ac:dyDescent="0.25">
      <c r="A324" s="256"/>
      <c r="B324" s="256"/>
      <c r="C324" s="62"/>
      <c r="D324" s="963"/>
      <c r="E324" s="1083"/>
      <c r="F324" s="1098" t="s">
        <v>262</v>
      </c>
      <c r="G324" s="1099"/>
      <c r="H324" s="1099"/>
      <c r="I324" s="1091"/>
      <c r="J324" s="1091"/>
      <c r="K324" s="1091"/>
      <c r="L324" s="1095"/>
      <c r="M324" s="1105"/>
      <c r="N324" s="1088"/>
      <c r="O324" s="129"/>
      <c r="P324" s="1"/>
      <c r="R324" s="19"/>
      <c r="S324" s="19"/>
      <c r="T324" s="19"/>
    </row>
    <row r="325" spans="1:20" s="246" customFormat="1" ht="16.5" customHeight="1" x14ac:dyDescent="0.25">
      <c r="A325" s="256"/>
      <c r="B325" s="256"/>
      <c r="C325" s="62"/>
      <c r="D325" s="963"/>
      <c r="E325" s="1083"/>
      <c r="F325" s="1098" t="s">
        <v>1678</v>
      </c>
      <c r="G325" s="1099"/>
      <c r="H325" s="1099"/>
      <c r="I325" s="1091"/>
      <c r="J325" s="1091"/>
      <c r="K325" s="1091"/>
      <c r="L325" s="1100"/>
      <c r="M325" s="1096" t="s">
        <v>200</v>
      </c>
      <c r="N325" s="1088"/>
      <c r="O325" s="129"/>
      <c r="P325" s="1"/>
      <c r="R325" s="19"/>
      <c r="S325" s="19"/>
      <c r="T325" s="19"/>
    </row>
    <row r="326" spans="1:20" s="246" customFormat="1" ht="16.5" customHeight="1" x14ac:dyDescent="0.25">
      <c r="A326" s="256"/>
      <c r="B326" s="256"/>
      <c r="C326" s="62"/>
      <c r="D326" s="963"/>
      <c r="E326" s="1083"/>
      <c r="F326" s="1098" t="s">
        <v>1679</v>
      </c>
      <c r="G326" s="1099"/>
      <c r="H326" s="1099"/>
      <c r="I326" s="1091"/>
      <c r="J326" s="1091"/>
      <c r="K326" s="1091"/>
      <c r="L326" s="1100"/>
      <c r="M326" s="1096" t="s">
        <v>200</v>
      </c>
      <c r="N326" s="1088"/>
      <c r="O326" s="129"/>
      <c r="P326" s="1"/>
      <c r="R326" s="19"/>
      <c r="S326" s="19"/>
      <c r="T326" s="19"/>
    </row>
    <row r="327" spans="1:20" s="246" customFormat="1" ht="16.5" customHeight="1" x14ac:dyDescent="0.25">
      <c r="A327" s="256"/>
      <c r="B327" s="256"/>
      <c r="C327" s="62"/>
      <c r="D327" s="963"/>
      <c r="E327" s="1083"/>
      <c r="F327" s="1098" t="s">
        <v>1680</v>
      </c>
      <c r="G327" s="1099"/>
      <c r="H327" s="1099"/>
      <c r="I327" s="1091"/>
      <c r="J327" s="1091"/>
      <c r="K327" s="1091"/>
      <c r="L327" s="1100"/>
      <c r="M327" s="1096" t="s">
        <v>200</v>
      </c>
      <c r="N327" s="1088"/>
      <c r="O327" s="129"/>
      <c r="P327" s="1"/>
      <c r="R327" s="19"/>
      <c r="S327" s="19"/>
      <c r="T327" s="19"/>
    </row>
    <row r="328" spans="1:20" s="246" customFormat="1" ht="16.5" customHeight="1" x14ac:dyDescent="0.25">
      <c r="A328" s="256"/>
      <c r="B328" s="256"/>
      <c r="C328" s="62"/>
      <c r="D328" s="963"/>
      <c r="E328" s="1083"/>
      <c r="F328" s="1098" t="s">
        <v>1681</v>
      </c>
      <c r="G328" s="1099"/>
      <c r="H328" s="1099"/>
      <c r="I328" s="1091"/>
      <c r="J328" s="1091"/>
      <c r="K328" s="1091"/>
      <c r="L328" s="1100"/>
      <c r="M328" s="1096" t="s">
        <v>200</v>
      </c>
      <c r="N328" s="1088"/>
      <c r="O328" s="129"/>
      <c r="P328" s="1"/>
      <c r="R328" s="19"/>
      <c r="S328" s="19"/>
      <c r="T328" s="19"/>
    </row>
    <row r="329" spans="1:20" s="246" customFormat="1" ht="16.5" customHeight="1" x14ac:dyDescent="0.25">
      <c r="A329" s="256"/>
      <c r="B329" s="256"/>
      <c r="C329" s="62"/>
      <c r="D329" s="963"/>
      <c r="E329" s="1083"/>
      <c r="F329" s="1098" t="s">
        <v>1682</v>
      </c>
      <c r="G329" s="1099"/>
      <c r="H329" s="1099"/>
      <c r="I329" s="1091"/>
      <c r="J329" s="1091"/>
      <c r="K329" s="1091"/>
      <c r="L329" s="1100"/>
      <c r="M329" s="1096" t="s">
        <v>200</v>
      </c>
      <c r="N329" s="1088"/>
      <c r="O329" s="129"/>
      <c r="P329" s="1"/>
      <c r="R329" s="19"/>
      <c r="S329" s="19"/>
      <c r="T329" s="19"/>
    </row>
    <row r="330" spans="1:20" s="246" customFormat="1" ht="16.5" customHeight="1" x14ac:dyDescent="0.25">
      <c r="A330" s="256"/>
      <c r="B330" s="256"/>
      <c r="C330" s="62"/>
      <c r="D330" s="963"/>
      <c r="E330" s="1083"/>
      <c r="F330" s="1098" t="s">
        <v>614</v>
      </c>
      <c r="G330" s="1099"/>
      <c r="H330" s="1099"/>
      <c r="I330" s="1091"/>
      <c r="J330" s="1091"/>
      <c r="K330" s="1091"/>
      <c r="L330" s="1100"/>
      <c r="M330" s="1096"/>
      <c r="N330" s="1088"/>
      <c r="O330" s="129"/>
      <c r="P330" s="1"/>
      <c r="R330" s="19"/>
      <c r="S330" s="19"/>
      <c r="T330" s="19"/>
    </row>
    <row r="331" spans="1:20" s="246" customFormat="1" ht="16.5" customHeight="1" x14ac:dyDescent="0.25">
      <c r="A331" s="256"/>
      <c r="B331" s="256"/>
      <c r="C331" s="62"/>
      <c r="D331" s="963"/>
      <c r="E331" s="1083"/>
      <c r="F331" s="1098" t="s">
        <v>1429</v>
      </c>
      <c r="G331" s="1099"/>
      <c r="H331" s="1099"/>
      <c r="I331" s="1091"/>
      <c r="J331" s="1091"/>
      <c r="K331" s="1091"/>
      <c r="L331" s="1100"/>
      <c r="M331" s="1096" t="s">
        <v>200</v>
      </c>
      <c r="N331" s="1088"/>
      <c r="O331" s="129"/>
      <c r="P331" s="1"/>
      <c r="R331" s="19"/>
      <c r="S331" s="19"/>
      <c r="T331" s="19"/>
    </row>
    <row r="332" spans="1:20" s="246" customFormat="1" ht="16.5" customHeight="1" x14ac:dyDescent="0.25">
      <c r="A332" s="256"/>
      <c r="B332" s="256"/>
      <c r="C332" s="62"/>
      <c r="D332" s="963"/>
      <c r="E332" s="1083"/>
      <c r="F332" s="1098" t="s">
        <v>1430</v>
      </c>
      <c r="G332" s="1099"/>
      <c r="H332" s="1099"/>
      <c r="I332" s="1091"/>
      <c r="J332" s="1091"/>
      <c r="K332" s="1091"/>
      <c r="L332" s="1100"/>
      <c r="M332" s="1096" t="s">
        <v>200</v>
      </c>
      <c r="N332" s="1088"/>
      <c r="O332" s="129"/>
      <c r="P332" s="1"/>
      <c r="R332" s="19"/>
      <c r="S332" s="19"/>
      <c r="T332" s="19"/>
    </row>
    <row r="333" spans="1:20" s="246" customFormat="1" ht="16.5" customHeight="1" x14ac:dyDescent="0.25">
      <c r="A333" s="256"/>
      <c r="B333" s="256"/>
      <c r="C333" s="62"/>
      <c r="D333" s="963"/>
      <c r="E333" s="1083"/>
      <c r="F333" s="1098" t="s">
        <v>1431</v>
      </c>
      <c r="G333" s="1099"/>
      <c r="H333" s="1099"/>
      <c r="I333" s="1091"/>
      <c r="J333" s="1091"/>
      <c r="K333" s="1091"/>
      <c r="L333" s="1100"/>
      <c r="M333" s="1096" t="s">
        <v>200</v>
      </c>
      <c r="N333" s="1088"/>
      <c r="O333" s="129"/>
      <c r="P333" s="1"/>
      <c r="R333" s="19"/>
      <c r="S333" s="19"/>
      <c r="T333" s="19"/>
    </row>
    <row r="334" spans="1:20" s="246" customFormat="1" ht="16.5" customHeight="1" x14ac:dyDescent="0.25">
      <c r="A334" s="256"/>
      <c r="B334" s="256"/>
      <c r="C334" s="62"/>
      <c r="D334" s="963"/>
      <c r="E334" s="1083"/>
      <c r="F334" s="1098" t="s">
        <v>728</v>
      </c>
      <c r="G334" s="1106"/>
      <c r="H334" s="1106"/>
      <c r="I334" s="1091"/>
      <c r="J334" s="1091"/>
      <c r="K334" s="1091"/>
      <c r="L334" s="1100"/>
      <c r="M334" s="1096"/>
      <c r="N334" s="1088"/>
      <c r="O334" s="129"/>
      <c r="P334" s="1"/>
      <c r="R334" s="19"/>
      <c r="S334" s="19"/>
      <c r="T334" s="19"/>
    </row>
    <row r="335" spans="1:20" s="246" customFormat="1" ht="16.5" customHeight="1" x14ac:dyDescent="0.25">
      <c r="A335" s="256"/>
      <c r="B335" s="256"/>
      <c r="C335" s="62"/>
      <c r="D335" s="963"/>
      <c r="E335" s="1083"/>
      <c r="F335" s="1098" t="s">
        <v>1432</v>
      </c>
      <c r="G335" s="1099"/>
      <c r="H335" s="1099"/>
      <c r="I335" s="1091"/>
      <c r="J335" s="1091"/>
      <c r="K335" s="1091"/>
      <c r="L335" s="1100"/>
      <c r="M335" s="1096" t="s">
        <v>200</v>
      </c>
      <c r="N335" s="1088"/>
      <c r="O335" s="129"/>
      <c r="P335" s="1"/>
      <c r="R335" s="19"/>
      <c r="S335" s="19"/>
      <c r="T335" s="19"/>
    </row>
    <row r="336" spans="1:20" s="246" customFormat="1" ht="16.5" customHeight="1" x14ac:dyDescent="0.25">
      <c r="A336" s="256"/>
      <c r="B336" s="256"/>
      <c r="C336" s="62"/>
      <c r="D336" s="963"/>
      <c r="E336" s="1083"/>
      <c r="F336" s="1098" t="s">
        <v>1433</v>
      </c>
      <c r="G336" s="1099"/>
      <c r="H336" s="1099"/>
      <c r="I336" s="1091"/>
      <c r="J336" s="1091"/>
      <c r="K336" s="1091"/>
      <c r="L336" s="1100"/>
      <c r="M336" s="1096" t="s">
        <v>200</v>
      </c>
      <c r="N336" s="1088"/>
      <c r="O336" s="129"/>
      <c r="P336" s="1"/>
      <c r="R336" s="19"/>
      <c r="S336" s="19"/>
      <c r="T336" s="19"/>
    </row>
    <row r="337" spans="1:20" s="246" customFormat="1" ht="16.5" customHeight="1" x14ac:dyDescent="0.25">
      <c r="A337" s="256"/>
      <c r="B337" s="256"/>
      <c r="C337" s="62"/>
      <c r="D337" s="963"/>
      <c r="E337" s="1083"/>
      <c r="F337" s="1098" t="s">
        <v>1434</v>
      </c>
      <c r="G337" s="1099"/>
      <c r="H337" s="1099"/>
      <c r="I337" s="1091"/>
      <c r="J337" s="1091"/>
      <c r="K337" s="1091"/>
      <c r="L337" s="1100"/>
      <c r="M337" s="1096" t="s">
        <v>200</v>
      </c>
      <c r="N337" s="1088"/>
      <c r="O337" s="129"/>
      <c r="P337" s="1"/>
      <c r="R337" s="19"/>
      <c r="S337" s="19"/>
      <c r="T337" s="19"/>
    </row>
    <row r="338" spans="1:20" s="246" customFormat="1" ht="16.5" customHeight="1" x14ac:dyDescent="0.25">
      <c r="A338" s="256"/>
      <c r="B338" s="256"/>
      <c r="C338" s="62"/>
      <c r="D338" s="963"/>
      <c r="E338" s="1083"/>
      <c r="F338" s="1098" t="s">
        <v>1435</v>
      </c>
      <c r="G338" s="1099"/>
      <c r="H338" s="1099"/>
      <c r="I338" s="1091"/>
      <c r="J338" s="1091"/>
      <c r="K338" s="1091"/>
      <c r="L338" s="1100"/>
      <c r="M338" s="1096" t="s">
        <v>200</v>
      </c>
      <c r="N338" s="1088"/>
      <c r="O338" s="129"/>
      <c r="P338" s="1"/>
      <c r="R338" s="19"/>
      <c r="S338" s="19"/>
      <c r="T338" s="19"/>
    </row>
    <row r="339" spans="1:20" s="246" customFormat="1" ht="16.5" customHeight="1" x14ac:dyDescent="0.25">
      <c r="A339" s="256"/>
      <c r="B339" s="256"/>
      <c r="C339" s="62"/>
      <c r="D339" s="963"/>
      <c r="E339" s="1083"/>
      <c r="F339" s="1098" t="s">
        <v>1436</v>
      </c>
      <c r="G339" s="1099"/>
      <c r="H339" s="1099"/>
      <c r="I339" s="1091"/>
      <c r="J339" s="1091"/>
      <c r="K339" s="1091"/>
      <c r="L339" s="1100"/>
      <c r="M339" s="1096" t="s">
        <v>200</v>
      </c>
      <c r="N339" s="1088"/>
      <c r="O339" s="129"/>
      <c r="P339" s="1"/>
      <c r="R339" s="19"/>
      <c r="S339" s="19"/>
      <c r="T339" s="19"/>
    </row>
    <row r="340" spans="1:20" s="246" customFormat="1" ht="16.5" customHeight="1" x14ac:dyDescent="0.25">
      <c r="A340" s="256"/>
      <c r="B340" s="256"/>
      <c r="C340" s="62"/>
      <c r="D340" s="963"/>
      <c r="E340" s="1083"/>
      <c r="F340" s="1098" t="s">
        <v>1437</v>
      </c>
      <c r="G340" s="1099"/>
      <c r="H340" s="1099"/>
      <c r="I340" s="1091"/>
      <c r="J340" s="1091"/>
      <c r="K340" s="1091"/>
      <c r="L340" s="1100"/>
      <c r="M340" s="1096" t="s">
        <v>200</v>
      </c>
      <c r="N340" s="1088"/>
      <c r="O340" s="129"/>
      <c r="P340" s="1"/>
      <c r="R340" s="19"/>
      <c r="S340" s="19"/>
      <c r="T340" s="19"/>
    </row>
    <row r="341" spans="1:20" s="246" customFormat="1" ht="16.5" customHeight="1" x14ac:dyDescent="0.25">
      <c r="A341" s="256"/>
      <c r="B341" s="256"/>
      <c r="C341" s="62"/>
      <c r="D341" s="963"/>
      <c r="E341" s="1083"/>
      <c r="F341" s="1098" t="s">
        <v>1438</v>
      </c>
      <c r="G341" s="1099"/>
      <c r="H341" s="1099"/>
      <c r="I341" s="1091"/>
      <c r="J341" s="1091"/>
      <c r="K341" s="1091"/>
      <c r="L341" s="1100"/>
      <c r="M341" s="1096" t="s">
        <v>200</v>
      </c>
      <c r="N341" s="1088"/>
      <c r="O341" s="129"/>
      <c r="P341" s="1"/>
      <c r="R341" s="19"/>
      <c r="S341" s="19"/>
      <c r="T341" s="19"/>
    </row>
    <row r="342" spans="1:20" s="246" customFormat="1" ht="16.5" customHeight="1" x14ac:dyDescent="0.25">
      <c r="A342" s="256">
        <v>138</v>
      </c>
      <c r="B342" s="154" t="s">
        <v>172</v>
      </c>
      <c r="C342" s="62"/>
      <c r="D342" s="963"/>
      <c r="E342" s="1083"/>
      <c r="F342" s="1090" t="s">
        <v>653</v>
      </c>
      <c r="G342" s="1091"/>
      <c r="H342" s="1091"/>
      <c r="I342" s="1091"/>
      <c r="J342" s="1091"/>
      <c r="K342" s="1091"/>
      <c r="L342" s="1100"/>
      <c r="M342" s="1096"/>
      <c r="N342" s="1088"/>
      <c r="O342" s="129"/>
      <c r="P342" s="1"/>
      <c r="R342" s="19"/>
      <c r="S342" s="19"/>
      <c r="T342" s="19"/>
    </row>
    <row r="343" spans="1:20" s="246" customFormat="1" ht="14.4" x14ac:dyDescent="0.25">
      <c r="A343" s="256"/>
      <c r="B343" s="256"/>
      <c r="C343" s="62"/>
      <c r="D343" s="963"/>
      <c r="E343" s="1083"/>
      <c r="F343" s="1097" t="s">
        <v>1683</v>
      </c>
      <c r="G343" s="1099"/>
      <c r="H343" s="1099"/>
      <c r="I343" s="1091"/>
      <c r="J343" s="1091"/>
      <c r="K343" s="1091"/>
      <c r="L343" s="1100"/>
      <c r="M343" s="1096" t="s">
        <v>200</v>
      </c>
      <c r="N343" s="1088"/>
      <c r="O343" s="129"/>
      <c r="P343" s="1"/>
      <c r="R343" s="19"/>
      <c r="S343" s="19"/>
      <c r="T343" s="19"/>
    </row>
    <row r="344" spans="1:20" s="246" customFormat="1" ht="14.4" x14ac:dyDescent="0.25">
      <c r="A344" s="628"/>
      <c r="B344" s="628"/>
      <c r="C344" s="62"/>
      <c r="D344" s="963"/>
      <c r="E344" s="1083"/>
      <c r="F344" s="1097" t="s">
        <v>1448</v>
      </c>
      <c r="G344" s="1099"/>
      <c r="H344" s="1099"/>
      <c r="I344" s="1091"/>
      <c r="J344" s="1091"/>
      <c r="K344" s="1091"/>
      <c r="L344" s="1100"/>
      <c r="M344" s="1096"/>
      <c r="N344" s="1088"/>
      <c r="O344" s="129"/>
      <c r="P344" s="1"/>
      <c r="R344" s="19"/>
      <c r="S344" s="19"/>
      <c r="T344" s="19"/>
    </row>
    <row r="345" spans="1:20" s="246" customFormat="1" ht="14.4" x14ac:dyDescent="0.25">
      <c r="A345" s="628"/>
      <c r="B345" s="628"/>
      <c r="C345" s="62"/>
      <c r="D345" s="963"/>
      <c r="E345" s="1083"/>
      <c r="F345" s="1097" t="s">
        <v>1464</v>
      </c>
      <c r="G345" s="1099"/>
      <c r="H345" s="1099"/>
      <c r="I345" s="1091"/>
      <c r="J345" s="1091"/>
      <c r="K345" s="1091"/>
      <c r="L345" s="1100"/>
      <c r="M345" s="1096" t="s">
        <v>200</v>
      </c>
      <c r="N345" s="1088"/>
      <c r="O345" s="129"/>
      <c r="P345" s="1"/>
      <c r="R345" s="19"/>
      <c r="S345" s="19"/>
      <c r="T345" s="19"/>
    </row>
    <row r="346" spans="1:20" s="246" customFormat="1" ht="4.5" customHeight="1" x14ac:dyDescent="0.3">
      <c r="A346" s="256"/>
      <c r="B346" s="256"/>
      <c r="C346" s="136"/>
      <c r="D346" s="963"/>
      <c r="E346" s="963"/>
      <c r="F346" s="1107"/>
      <c r="G346" s="1108"/>
      <c r="H346" s="1108"/>
      <c r="I346" s="1108"/>
      <c r="J346" s="1108"/>
      <c r="K346" s="1108"/>
      <c r="L346" s="1108"/>
      <c r="M346" s="1109"/>
      <c r="N346" s="1088"/>
      <c r="O346" s="129"/>
      <c r="P346" s="1"/>
      <c r="R346" s="19"/>
      <c r="S346" s="19"/>
      <c r="T346" s="19"/>
    </row>
    <row r="347" spans="1:20" s="246" customFormat="1" ht="16.5" customHeight="1" x14ac:dyDescent="0.25">
      <c r="A347" s="256">
        <v>116</v>
      </c>
      <c r="B347" s="256" t="s">
        <v>125</v>
      </c>
      <c r="C347" s="62"/>
      <c r="D347" s="963"/>
      <c r="E347" s="1083"/>
      <c r="F347" s="1110" t="s">
        <v>656</v>
      </c>
      <c r="G347" s="1111"/>
      <c r="H347" s="1111"/>
      <c r="I347" s="1111"/>
      <c r="J347" s="1111"/>
      <c r="K347" s="1111"/>
      <c r="L347" s="1111"/>
      <c r="M347" s="1112"/>
      <c r="N347" s="1088"/>
      <c r="O347" s="129"/>
      <c r="P347" s="1"/>
      <c r="R347" s="19"/>
      <c r="S347" s="19"/>
      <c r="T347" s="19"/>
    </row>
    <row r="348" spans="1:20" s="246" customFormat="1" ht="16.5" customHeight="1" thickBot="1" x14ac:dyDescent="0.3">
      <c r="A348" s="256">
        <v>108</v>
      </c>
      <c r="B348" s="256">
        <v>39</v>
      </c>
      <c r="C348" s="62"/>
      <c r="D348" s="963"/>
      <c r="E348" s="1083"/>
      <c r="F348" s="1113" t="s">
        <v>853</v>
      </c>
      <c r="G348" s="1114"/>
      <c r="H348" s="1114"/>
      <c r="I348" s="1114"/>
      <c r="J348" s="1114"/>
      <c r="K348" s="1114"/>
      <c r="L348" s="1114"/>
      <c r="M348" s="1115"/>
      <c r="N348" s="1088"/>
      <c r="O348" s="129"/>
      <c r="P348" s="1"/>
      <c r="R348" s="19"/>
      <c r="S348" s="19"/>
      <c r="T348" s="19"/>
    </row>
    <row r="349" spans="1:20" s="3" customFormat="1" ht="11.25" customHeight="1" x14ac:dyDescent="0.25">
      <c r="A349" s="139"/>
      <c r="B349" s="139"/>
      <c r="C349" s="62"/>
      <c r="D349" s="1083"/>
      <c r="E349" s="1083"/>
      <c r="F349" s="1023"/>
      <c r="G349" s="973"/>
      <c r="H349" s="1023"/>
      <c r="I349" s="1023"/>
      <c r="J349" s="1023"/>
      <c r="K349" s="1077"/>
      <c r="L349" s="1077"/>
      <c r="M349" s="1077"/>
      <c r="N349" s="1116"/>
      <c r="O349" s="110"/>
      <c r="P349" s="1"/>
      <c r="R349" s="19"/>
      <c r="S349" s="19"/>
      <c r="T349" s="19"/>
    </row>
    <row r="350" spans="1:20" s="3" customFormat="1" ht="16.5" customHeight="1" x14ac:dyDescent="0.25">
      <c r="A350" s="139">
        <v>101</v>
      </c>
      <c r="B350" s="139" t="s">
        <v>675</v>
      </c>
      <c r="C350" s="62"/>
      <c r="D350" s="961" t="s">
        <v>286</v>
      </c>
      <c r="E350" s="961">
        <f>E271+0.1</f>
        <v>3.5000000000000004</v>
      </c>
      <c r="F350" s="956" t="s">
        <v>175</v>
      </c>
      <c r="G350" s="955"/>
      <c r="H350" s="955"/>
      <c r="I350" s="1039"/>
      <c r="J350" s="1039"/>
      <c r="K350" s="1117"/>
      <c r="L350" s="1077"/>
      <c r="M350" s="1117"/>
      <c r="N350" s="955"/>
      <c r="O350" s="1"/>
      <c r="P350" s="1"/>
      <c r="R350" s="19"/>
      <c r="S350" s="19"/>
      <c r="T350" s="19"/>
    </row>
    <row r="351" spans="1:20" s="3" customFormat="1" ht="16.5" customHeight="1" x14ac:dyDescent="0.25">
      <c r="A351" s="256">
        <v>101</v>
      </c>
      <c r="B351" s="256" t="s">
        <v>675</v>
      </c>
      <c r="C351" s="62"/>
      <c r="D351" s="1078"/>
      <c r="E351" s="1078"/>
      <c r="F351" s="986" t="s">
        <v>574</v>
      </c>
      <c r="G351" s="955"/>
      <c r="H351" s="955"/>
      <c r="I351" s="1023"/>
      <c r="J351" s="1023"/>
      <c r="K351" s="1118">
        <v>0</v>
      </c>
      <c r="L351" s="1119"/>
      <c r="M351" s="1118">
        <v>0</v>
      </c>
      <c r="N351" s="955"/>
      <c r="O351" s="1"/>
      <c r="P351" s="1"/>
      <c r="R351" s="19"/>
      <c r="S351" s="19"/>
      <c r="T351" s="19"/>
    </row>
    <row r="352" spans="1:20" s="3" customFormat="1" ht="16.5" customHeight="1" x14ac:dyDescent="0.25">
      <c r="A352" s="139">
        <v>7</v>
      </c>
      <c r="B352" s="139">
        <v>20</v>
      </c>
      <c r="C352" s="62"/>
      <c r="D352" s="1078"/>
      <c r="E352" s="1078"/>
      <c r="F352" s="986" t="s">
        <v>1554</v>
      </c>
      <c r="G352" s="955"/>
      <c r="H352" s="955"/>
      <c r="I352" s="1023"/>
      <c r="J352" s="1023"/>
      <c r="K352" s="1120">
        <v>247</v>
      </c>
      <c r="L352" s="1119"/>
      <c r="M352" s="1120">
        <v>320</v>
      </c>
      <c r="N352" s="955"/>
      <c r="O352" s="1"/>
      <c r="P352" s="1"/>
      <c r="R352" s="19"/>
      <c r="S352" s="19"/>
      <c r="T352" s="19"/>
    </row>
    <row r="353" spans="1:20" s="246" customFormat="1" ht="16.5" customHeight="1" x14ac:dyDescent="0.25">
      <c r="A353" s="662"/>
      <c r="B353" s="662"/>
      <c r="C353" s="62"/>
      <c r="D353" s="1078"/>
      <c r="E353" s="1078"/>
      <c r="F353" s="986" t="s">
        <v>1553</v>
      </c>
      <c r="G353" s="955"/>
      <c r="H353" s="955"/>
      <c r="I353" s="1023"/>
      <c r="J353" s="1023"/>
      <c r="K353" s="1120">
        <v>0</v>
      </c>
      <c r="L353" s="1119"/>
      <c r="M353" s="1120">
        <v>0</v>
      </c>
      <c r="N353" s="955"/>
      <c r="O353" s="1"/>
      <c r="P353" s="1"/>
      <c r="R353" s="19"/>
      <c r="S353" s="19"/>
      <c r="T353" s="19"/>
    </row>
    <row r="354" spans="1:20" s="3" customFormat="1" ht="16.5" customHeight="1" x14ac:dyDescent="0.25">
      <c r="A354" s="139">
        <v>16</v>
      </c>
      <c r="B354" s="139" t="s">
        <v>1509</v>
      </c>
      <c r="C354" s="62"/>
      <c r="D354" s="1078"/>
      <c r="E354" s="1078"/>
      <c r="F354" s="986" t="s">
        <v>1555</v>
      </c>
      <c r="G354" s="955"/>
      <c r="H354" s="955"/>
      <c r="I354" s="1023"/>
      <c r="J354" s="1023"/>
      <c r="K354" s="1120">
        <v>450</v>
      </c>
      <c r="L354" s="1119"/>
      <c r="M354" s="1120">
        <v>450</v>
      </c>
      <c r="N354" s="955"/>
      <c r="P354" s="694"/>
      <c r="R354" s="19"/>
      <c r="S354" s="19"/>
      <c r="T354" s="19"/>
    </row>
    <row r="355" spans="1:20" ht="16.5" customHeight="1" x14ac:dyDescent="0.25">
      <c r="A355" s="139"/>
      <c r="B355" s="139"/>
      <c r="C355" s="62"/>
      <c r="D355" s="1078"/>
      <c r="E355" s="1078"/>
      <c r="F355" s="1312" t="s">
        <v>103</v>
      </c>
      <c r="G355" s="1036"/>
      <c r="H355" s="1036"/>
      <c r="I355" s="1074"/>
      <c r="J355" s="1074"/>
      <c r="K355" s="2058">
        <f>SUM(K351:K354)</f>
        <v>697</v>
      </c>
      <c r="L355" s="2059"/>
      <c r="M355" s="2058">
        <f>SUM(M351:M354)</f>
        <v>770</v>
      </c>
      <c r="N355" s="955"/>
      <c r="Q355" s="3"/>
    </row>
    <row r="356" spans="1:20" ht="16.5" customHeight="1" x14ac:dyDescent="0.25">
      <c r="A356" s="139">
        <v>123</v>
      </c>
      <c r="B356" s="139" t="s">
        <v>684</v>
      </c>
      <c r="C356" s="62"/>
      <c r="D356" s="1078"/>
      <c r="E356" s="1078"/>
      <c r="F356" s="1035" t="s">
        <v>443</v>
      </c>
      <c r="G356" s="1036"/>
      <c r="H356" s="1036"/>
      <c r="I356" s="1074"/>
      <c r="J356" s="1074"/>
      <c r="K356" s="1149">
        <v>0</v>
      </c>
      <c r="L356" s="1149"/>
      <c r="M356" s="1149">
        <v>0</v>
      </c>
      <c r="N356" s="955"/>
      <c r="O356" s="2055" t="s">
        <v>2100</v>
      </c>
      <c r="Q356" s="3"/>
    </row>
    <row r="357" spans="1:20" ht="16.5" customHeight="1" x14ac:dyDescent="0.25">
      <c r="A357" s="139"/>
      <c r="B357" s="139"/>
      <c r="C357" s="62"/>
      <c r="D357" s="1078"/>
      <c r="E357" s="1078"/>
      <c r="F357" s="1312" t="s">
        <v>400</v>
      </c>
      <c r="G357" s="1036"/>
      <c r="H357" s="1036"/>
      <c r="I357" s="1074"/>
      <c r="J357" s="1074"/>
      <c r="K357" s="2060">
        <f>+K355+K356</f>
        <v>697</v>
      </c>
      <c r="L357" s="2059"/>
      <c r="M357" s="2060">
        <f>+M355+M356</f>
        <v>770</v>
      </c>
      <c r="N357" s="955"/>
      <c r="Q357" s="3"/>
    </row>
    <row r="358" spans="1:20" ht="6.75" customHeight="1" x14ac:dyDescent="0.25">
      <c r="A358" s="139"/>
      <c r="B358" s="139"/>
      <c r="C358" s="62"/>
      <c r="D358" s="1078"/>
      <c r="E358" s="1078"/>
      <c r="F358" s="986"/>
      <c r="G358" s="955"/>
      <c r="H358" s="955"/>
      <c r="I358" s="1023"/>
      <c r="J358" s="1023"/>
      <c r="K358" s="1077"/>
      <c r="L358" s="1077"/>
      <c r="M358" s="1077"/>
      <c r="N358" s="955"/>
      <c r="Q358" s="3"/>
    </row>
    <row r="359" spans="1:20" ht="16.5" customHeight="1" x14ac:dyDescent="0.25">
      <c r="A359" s="139">
        <v>123</v>
      </c>
      <c r="B359" s="139" t="s">
        <v>173</v>
      </c>
      <c r="C359" s="62"/>
      <c r="D359" s="1078"/>
      <c r="E359" s="1078"/>
      <c r="F359" s="2057" t="s">
        <v>289</v>
      </c>
      <c r="G359" s="1136"/>
      <c r="H359" s="1136"/>
      <c r="I359" s="2054"/>
      <c r="J359" s="2054"/>
      <c r="K359" s="2056" t="s">
        <v>34</v>
      </c>
      <c r="L359" s="2056"/>
      <c r="M359" s="2056" t="s">
        <v>34</v>
      </c>
      <c r="N359" s="955"/>
      <c r="O359" s="2055" t="s">
        <v>2100</v>
      </c>
      <c r="Q359" s="3"/>
    </row>
    <row r="360" spans="1:20" ht="6" customHeight="1" thickBot="1" x14ac:dyDescent="0.3">
      <c r="A360" s="256"/>
      <c r="B360" s="256"/>
      <c r="C360" s="62"/>
      <c r="D360" s="1078"/>
      <c r="E360" s="1078"/>
      <c r="F360" s="1039"/>
      <c r="G360" s="1125"/>
      <c r="H360" s="1023"/>
      <c r="I360" s="1023"/>
      <c r="J360" s="1023"/>
      <c r="K360" s="1124"/>
      <c r="L360" s="1124"/>
      <c r="M360" s="1124"/>
      <c r="N360" s="955"/>
      <c r="Q360" s="246"/>
    </row>
    <row r="361" spans="1:20" ht="16.5" customHeight="1" x14ac:dyDescent="0.25">
      <c r="A361" s="256"/>
      <c r="B361" s="256"/>
      <c r="C361" s="62"/>
      <c r="D361" s="1078"/>
      <c r="E361" s="1078"/>
      <c r="F361" s="1025" t="s">
        <v>1133</v>
      </c>
      <c r="G361" s="1075"/>
      <c r="H361" s="1075"/>
      <c r="I361" s="1075"/>
      <c r="J361" s="1075"/>
      <c r="K361" s="1075"/>
      <c r="L361" s="1075"/>
      <c r="M361" s="1076"/>
      <c r="N361" s="1088"/>
      <c r="O361" s="129"/>
      <c r="P361" s="600" t="s">
        <v>2076</v>
      </c>
      <c r="Q361" s="246"/>
    </row>
    <row r="362" spans="1:20" ht="6.75" customHeight="1" x14ac:dyDescent="0.25">
      <c r="A362" s="256"/>
      <c r="B362" s="256"/>
      <c r="C362" s="62"/>
      <c r="D362" s="1078"/>
      <c r="E362" s="1078"/>
      <c r="F362" s="1028"/>
      <c r="G362" s="1070"/>
      <c r="H362" s="1070"/>
      <c r="I362" s="1070"/>
      <c r="J362" s="1070"/>
      <c r="K362" s="1070"/>
      <c r="L362" s="1070"/>
      <c r="M362" s="1071"/>
      <c r="N362" s="1088"/>
      <c r="O362" s="129"/>
      <c r="Q362" s="246"/>
    </row>
    <row r="363" spans="1:20" ht="16.5" customHeight="1" x14ac:dyDescent="0.25">
      <c r="A363" s="256"/>
      <c r="B363" s="256"/>
      <c r="C363" s="62"/>
      <c r="D363" s="1078"/>
      <c r="E363" s="1078"/>
      <c r="F363" s="1028" t="s">
        <v>1140</v>
      </c>
      <c r="G363" s="1070"/>
      <c r="H363" s="1070"/>
      <c r="I363" s="1070"/>
      <c r="J363" s="1070"/>
      <c r="K363" s="1070"/>
      <c r="L363" s="1070"/>
      <c r="M363" s="1071"/>
      <c r="N363" s="1088"/>
      <c r="O363" s="129"/>
      <c r="P363" s="2171" t="s">
        <v>2075</v>
      </c>
      <c r="Q363" s="2171"/>
    </row>
    <row r="364" spans="1:20" ht="31.5" customHeight="1" x14ac:dyDescent="0.25">
      <c r="A364" s="256"/>
      <c r="B364" s="256"/>
      <c r="C364" s="62"/>
      <c r="D364" s="1078"/>
      <c r="E364" s="1078"/>
      <c r="F364" s="2132" t="s">
        <v>1196</v>
      </c>
      <c r="G364" s="2133"/>
      <c r="H364" s="2133"/>
      <c r="I364" s="2133"/>
      <c r="J364" s="2133"/>
      <c r="K364" s="2133"/>
      <c r="L364" s="2133"/>
      <c r="M364" s="2134"/>
      <c r="N364" s="955"/>
      <c r="O364" s="302"/>
      <c r="P364" s="2171"/>
      <c r="Q364" s="2171"/>
    </row>
    <row r="365" spans="1:20" ht="31.5" customHeight="1" x14ac:dyDescent="0.25">
      <c r="A365" s="256">
        <v>123</v>
      </c>
      <c r="B365" s="256" t="s">
        <v>1132</v>
      </c>
      <c r="C365" s="62"/>
      <c r="D365" s="1078"/>
      <c r="E365" s="1078"/>
      <c r="F365" s="2168" t="s">
        <v>1770</v>
      </c>
      <c r="G365" s="2169"/>
      <c r="H365" s="2169"/>
      <c r="I365" s="2169"/>
      <c r="J365" s="2169"/>
      <c r="K365" s="2169"/>
      <c r="L365" s="2169"/>
      <c r="M365" s="2170"/>
      <c r="N365" s="955"/>
      <c r="O365" s="302"/>
      <c r="P365" s="2171"/>
      <c r="Q365" s="2171"/>
    </row>
    <row r="366" spans="1:20" ht="14.4" x14ac:dyDescent="0.25">
      <c r="A366" s="2037"/>
      <c r="B366" s="2037"/>
      <c r="C366" s="62"/>
      <c r="D366" s="1078"/>
      <c r="E366" s="2044" t="s">
        <v>497</v>
      </c>
      <c r="F366" s="1028"/>
      <c r="G366" s="1070"/>
      <c r="H366" s="1070"/>
      <c r="I366" s="1070"/>
      <c r="J366" s="1070"/>
      <c r="K366" s="1070"/>
      <c r="L366" s="1070"/>
      <c r="M366" s="1071"/>
      <c r="N366" s="955"/>
      <c r="O366" s="302"/>
      <c r="P366" s="301" t="s">
        <v>2077</v>
      </c>
      <c r="Q366" s="246"/>
    </row>
    <row r="367" spans="1:20" ht="81" customHeight="1" x14ac:dyDescent="0.25">
      <c r="A367" s="256">
        <v>123</v>
      </c>
      <c r="B367" s="256" t="s">
        <v>1131</v>
      </c>
      <c r="C367" s="62"/>
      <c r="D367" s="1078"/>
      <c r="E367" s="1"/>
      <c r="F367" s="2168" t="s">
        <v>2102</v>
      </c>
      <c r="G367" s="2169"/>
      <c r="H367" s="2169"/>
      <c r="I367" s="2169"/>
      <c r="J367" s="2169"/>
      <c r="K367" s="2169"/>
      <c r="L367" s="2169"/>
      <c r="M367" s="2170"/>
      <c r="N367" s="1126"/>
      <c r="O367" s="302"/>
      <c r="P367" s="2172" t="s">
        <v>2078</v>
      </c>
      <c r="Q367" s="2172"/>
    </row>
    <row r="368" spans="1:20" ht="15" thickBot="1" x14ac:dyDescent="0.3">
      <c r="C368" s="62"/>
      <c r="D368" s="1078"/>
      <c r="E368" s="1078"/>
      <c r="F368" s="2155" t="s">
        <v>1586</v>
      </c>
      <c r="G368" s="2156"/>
      <c r="H368" s="2156"/>
      <c r="I368" s="2156"/>
      <c r="J368" s="2156"/>
      <c r="K368" s="2156"/>
      <c r="L368" s="2156"/>
      <c r="M368" s="2157"/>
      <c r="N368" s="955"/>
      <c r="Q368" s="246"/>
    </row>
    <row r="369" spans="1:20" ht="12.75" customHeight="1" x14ac:dyDescent="0.25">
      <c r="A369" s="139"/>
      <c r="B369" s="139"/>
      <c r="C369" s="62"/>
      <c r="D369" s="1078"/>
      <c r="E369" s="1078"/>
      <c r="F369" s="1039"/>
      <c r="G369" s="1039"/>
      <c r="H369" s="1039"/>
      <c r="I369" s="1039"/>
      <c r="J369" s="1039"/>
      <c r="K369" s="1077"/>
      <c r="L369" s="1077"/>
      <c r="M369" s="1077"/>
      <c r="N369" s="955"/>
      <c r="Q369" s="3"/>
    </row>
    <row r="370" spans="1:20" ht="16.5" customHeight="1" x14ac:dyDescent="0.25">
      <c r="A370" s="139"/>
      <c r="B370" s="139"/>
      <c r="C370" s="62"/>
      <c r="D370" s="961" t="s">
        <v>286</v>
      </c>
      <c r="E370" s="961">
        <f>E350+0.1</f>
        <v>3.6000000000000005</v>
      </c>
      <c r="F370" s="956" t="s">
        <v>573</v>
      </c>
      <c r="G370" s="963"/>
      <c r="H370" s="955"/>
      <c r="I370" s="1039"/>
      <c r="J370" s="1039"/>
      <c r="K370" s="1077"/>
      <c r="L370" s="1077"/>
      <c r="M370" s="1077"/>
      <c r="N370" s="955"/>
      <c r="Q370" s="3"/>
    </row>
    <row r="371" spans="1:20" ht="16.5" customHeight="1" x14ac:dyDescent="0.25">
      <c r="A371" s="139">
        <v>1054</v>
      </c>
      <c r="B371" s="139" t="s">
        <v>867</v>
      </c>
      <c r="C371" s="62"/>
      <c r="D371" s="1078"/>
      <c r="E371" s="1078"/>
      <c r="F371" s="986" t="s">
        <v>769</v>
      </c>
      <c r="G371" s="1125"/>
      <c r="H371" s="955"/>
      <c r="I371" s="1039"/>
      <c r="J371" s="1039"/>
      <c r="K371" s="1119">
        <v>94</v>
      </c>
      <c r="L371" s="1119"/>
      <c r="M371" s="1119">
        <v>88</v>
      </c>
      <c r="N371" s="955"/>
      <c r="P371" s="225"/>
      <c r="Q371" s="3"/>
    </row>
    <row r="372" spans="1:20" ht="16.5" customHeight="1" x14ac:dyDescent="0.25">
      <c r="A372" s="256">
        <v>1054</v>
      </c>
      <c r="B372" s="256" t="s">
        <v>868</v>
      </c>
      <c r="C372" s="62"/>
      <c r="D372" s="1078"/>
      <c r="E372" s="1078"/>
      <c r="F372" s="986" t="s">
        <v>1771</v>
      </c>
      <c r="G372" s="1125"/>
      <c r="H372" s="955"/>
      <c r="I372" s="1127"/>
      <c r="J372" s="1039"/>
      <c r="K372" s="1119">
        <v>0</v>
      </c>
      <c r="L372" s="1119"/>
      <c r="M372" s="1119">
        <v>0</v>
      </c>
      <c r="N372" s="955"/>
      <c r="O372" s="358" t="s">
        <v>1224</v>
      </c>
      <c r="Q372" s="246"/>
    </row>
    <row r="373" spans="1:20" ht="16.5" customHeight="1" x14ac:dyDescent="0.25">
      <c r="A373" s="139" t="s">
        <v>690</v>
      </c>
      <c r="B373" s="139"/>
      <c r="C373" s="62"/>
      <c r="D373" s="1078"/>
      <c r="E373" s="1078"/>
      <c r="F373" s="986" t="s">
        <v>643</v>
      </c>
      <c r="G373" s="1125"/>
      <c r="H373" s="955"/>
      <c r="I373" s="1039"/>
      <c r="J373" s="1039"/>
      <c r="K373" s="1119">
        <v>250</v>
      </c>
      <c r="L373" s="1119"/>
      <c r="M373" s="1119">
        <v>240</v>
      </c>
      <c r="N373" s="955"/>
      <c r="Q373" s="3"/>
    </row>
    <row r="374" spans="1:20" ht="16.5" customHeight="1" x14ac:dyDescent="0.25">
      <c r="A374" s="628"/>
      <c r="B374" s="628"/>
      <c r="C374" s="62"/>
      <c r="D374" s="1078"/>
      <c r="E374" s="1078"/>
      <c r="F374" s="986" t="s">
        <v>1538</v>
      </c>
      <c r="G374" s="1125"/>
      <c r="H374" s="955"/>
      <c r="I374" s="1039"/>
      <c r="J374" s="1039"/>
      <c r="K374" s="1119">
        <v>3550</v>
      </c>
      <c r="L374" s="1119"/>
      <c r="M374" s="1119">
        <v>3000</v>
      </c>
      <c r="N374" s="955"/>
      <c r="Q374" s="246"/>
    </row>
    <row r="375" spans="1:20" ht="16.5" customHeight="1" x14ac:dyDescent="0.25">
      <c r="A375" s="139">
        <v>16</v>
      </c>
      <c r="B375" s="139" t="s">
        <v>1510</v>
      </c>
      <c r="C375" s="62"/>
      <c r="D375" s="1078"/>
      <c r="E375" s="1078"/>
      <c r="F375" s="986" t="s">
        <v>1618</v>
      </c>
      <c r="G375" s="1125"/>
      <c r="H375" s="1001"/>
      <c r="I375" s="1039"/>
      <c r="J375" s="1039"/>
      <c r="K375" s="1119">
        <v>1000</v>
      </c>
      <c r="L375" s="1119"/>
      <c r="M375" s="1128">
        <v>1000</v>
      </c>
      <c r="N375" s="955"/>
      <c r="O375" s="694"/>
      <c r="P375" s="358"/>
      <c r="Q375" s="3"/>
    </row>
    <row r="376" spans="1:20" ht="16.5" customHeight="1" x14ac:dyDescent="0.25">
      <c r="A376" s="648">
        <v>16</v>
      </c>
      <c r="B376" s="648" t="s">
        <v>1511</v>
      </c>
      <c r="C376" s="62"/>
      <c r="D376" s="1078"/>
      <c r="E376" s="1078"/>
      <c r="F376" s="986" t="s">
        <v>1619</v>
      </c>
      <c r="G376" s="1125"/>
      <c r="H376" s="1001"/>
      <c r="I376" s="1039"/>
      <c r="J376" s="1039"/>
      <c r="K376" s="1119">
        <v>0</v>
      </c>
      <c r="L376" s="1119"/>
      <c r="M376" s="1129">
        <v>0</v>
      </c>
      <c r="N376" s="955"/>
      <c r="P376" s="358"/>
      <c r="Q376" s="246"/>
    </row>
    <row r="377" spans="1:20" ht="16.5" customHeight="1" x14ac:dyDescent="0.25">
      <c r="A377" s="648">
        <v>16</v>
      </c>
      <c r="B377" s="648" t="s">
        <v>1512</v>
      </c>
      <c r="C377" s="62"/>
      <c r="D377" s="1078"/>
      <c r="E377" s="1078"/>
      <c r="F377" s="986" t="s">
        <v>1763</v>
      </c>
      <c r="G377" s="1125"/>
      <c r="H377" s="1001"/>
      <c r="I377" s="1039"/>
      <c r="J377" s="1039"/>
      <c r="K377" s="1119">
        <v>0</v>
      </c>
      <c r="L377" s="1119"/>
      <c r="M377" s="1129">
        <v>0</v>
      </c>
      <c r="N377" s="955"/>
      <c r="P377" s="358"/>
      <c r="Q377" s="246"/>
    </row>
    <row r="378" spans="1:20" s="246" customFormat="1" ht="16.5" customHeight="1" x14ac:dyDescent="0.3">
      <c r="A378" s="237">
        <v>1058</v>
      </c>
      <c r="B378" s="237" t="s">
        <v>1590</v>
      </c>
      <c r="C378" s="136"/>
      <c r="D378" s="1073"/>
      <c r="E378" s="1073"/>
      <c r="F378" s="986" t="s">
        <v>1587</v>
      </c>
      <c r="G378" s="955"/>
      <c r="H378" s="955"/>
      <c r="I378" s="963"/>
      <c r="J378" s="997"/>
      <c r="K378" s="983">
        <v>0</v>
      </c>
      <c r="L378" s="983"/>
      <c r="M378" s="983">
        <v>0</v>
      </c>
      <c r="N378" s="955"/>
      <c r="O378" s="301" t="s">
        <v>1592</v>
      </c>
      <c r="P378" s="1"/>
      <c r="R378" s="19"/>
      <c r="S378" s="19"/>
      <c r="T378" s="19"/>
    </row>
    <row r="379" spans="1:20" ht="16.5" customHeight="1" x14ac:dyDescent="0.25">
      <c r="A379" s="139">
        <v>136</v>
      </c>
      <c r="B379" s="139" t="s">
        <v>166</v>
      </c>
      <c r="C379" s="62"/>
      <c r="D379" s="1078"/>
      <c r="E379" s="1078"/>
      <c r="F379" s="986" t="s">
        <v>593</v>
      </c>
      <c r="G379" s="1125"/>
      <c r="H379" s="955"/>
      <c r="I379" s="1039"/>
      <c r="J379" s="1039"/>
      <c r="K379" s="1119">
        <v>0</v>
      </c>
      <c r="L379" s="1119"/>
      <c r="M379" s="1129">
        <v>0</v>
      </c>
      <c r="N379" s="955"/>
      <c r="Q379" s="3"/>
    </row>
    <row r="380" spans="1:20" ht="16.5" customHeight="1" x14ac:dyDescent="0.25">
      <c r="A380" s="139"/>
      <c r="B380" s="139"/>
      <c r="C380" s="62"/>
      <c r="D380" s="1083"/>
      <c r="E380" s="1083"/>
      <c r="F380" s="986" t="s">
        <v>102</v>
      </c>
      <c r="G380" s="973"/>
      <c r="H380" s="955"/>
      <c r="I380" s="1023"/>
      <c r="J380" s="1023"/>
      <c r="K380" s="1120">
        <f>2965+1000-3550</f>
        <v>415</v>
      </c>
      <c r="L380" s="1119"/>
      <c r="M380" s="1120">
        <v>157</v>
      </c>
      <c r="N380" s="955"/>
      <c r="Q380" s="3"/>
    </row>
    <row r="381" spans="1:20" ht="15.75" customHeight="1" x14ac:dyDescent="0.25">
      <c r="A381" s="139"/>
      <c r="B381" s="139"/>
      <c r="C381" s="62"/>
      <c r="D381" s="1083"/>
      <c r="E381" s="1083"/>
      <c r="F381" s="1130" t="s">
        <v>642</v>
      </c>
      <c r="G381" s="973"/>
      <c r="H381" s="955"/>
      <c r="I381" s="1023"/>
      <c r="J381" s="1023"/>
      <c r="K381" s="1120">
        <v>0</v>
      </c>
      <c r="L381" s="1119"/>
      <c r="M381" s="1120">
        <v>0</v>
      </c>
      <c r="N381" s="955"/>
      <c r="Q381" s="3"/>
    </row>
    <row r="382" spans="1:20" ht="16.5" customHeight="1" x14ac:dyDescent="0.25">
      <c r="A382" s="139"/>
      <c r="B382" s="139"/>
      <c r="C382" s="62"/>
      <c r="D382" s="1083"/>
      <c r="E382" s="1083"/>
      <c r="F382" s="1125" t="s">
        <v>401</v>
      </c>
      <c r="G382" s="973"/>
      <c r="H382" s="955"/>
      <c r="I382" s="1023"/>
      <c r="J382" s="1023"/>
      <c r="K382" s="1131">
        <f>SUM(K371:K381)</f>
        <v>5309</v>
      </c>
      <c r="L382" s="1132"/>
      <c r="M382" s="1131">
        <f>SUM(M371:M381)</f>
        <v>4485</v>
      </c>
      <c r="N382" s="955"/>
      <c r="Q382" s="3"/>
    </row>
    <row r="383" spans="1:20" ht="9" customHeight="1" thickBot="1" x14ac:dyDescent="0.3">
      <c r="A383" s="256"/>
      <c r="B383" s="256"/>
      <c r="C383" s="62"/>
      <c r="D383" s="1083"/>
      <c r="E383" s="1083"/>
      <c r="F383" s="1023"/>
      <c r="G383" s="973"/>
      <c r="H383" s="1039"/>
      <c r="I383" s="1023"/>
      <c r="J383" s="1023"/>
      <c r="K383" s="1132"/>
      <c r="L383" s="1132"/>
      <c r="M383" s="1132"/>
      <c r="N383" s="955"/>
      <c r="Q383" s="246"/>
    </row>
    <row r="384" spans="1:20" ht="16.5" customHeight="1" x14ac:dyDescent="0.25">
      <c r="A384" s="256"/>
      <c r="B384" s="256"/>
      <c r="C384" s="62"/>
      <c r="D384" s="1083"/>
      <c r="E384" s="1083"/>
      <c r="F384" s="1067" t="s">
        <v>1133</v>
      </c>
      <c r="G384" s="1068"/>
      <c r="H384" s="1068"/>
      <c r="I384" s="1068"/>
      <c r="J384" s="1068"/>
      <c r="K384" s="1068"/>
      <c r="L384" s="1068"/>
      <c r="M384" s="1069"/>
      <c r="N384" s="1088"/>
      <c r="O384" s="129"/>
      <c r="Q384" s="246"/>
    </row>
    <row r="385" spans="1:27" ht="9.9" customHeight="1" x14ac:dyDescent="0.25">
      <c r="A385" s="665"/>
      <c r="B385" s="256"/>
      <c r="C385" s="62"/>
      <c r="D385" s="1083"/>
      <c r="E385" s="1083"/>
      <c r="F385" s="1028"/>
      <c r="G385" s="1070"/>
      <c r="H385" s="1070"/>
      <c r="I385" s="1070"/>
      <c r="J385" s="1070"/>
      <c r="K385" s="1070"/>
      <c r="L385" s="1070"/>
      <c r="M385" s="1071"/>
      <c r="N385" s="1088"/>
      <c r="O385" s="129"/>
      <c r="Q385" s="246"/>
    </row>
    <row r="386" spans="1:27" ht="16.5" customHeight="1" x14ac:dyDescent="0.25">
      <c r="A386" s="665"/>
      <c r="B386" s="256"/>
      <c r="C386" s="62"/>
      <c r="D386" s="1083"/>
      <c r="E386" s="1083"/>
      <c r="F386" s="1028" t="s">
        <v>573</v>
      </c>
      <c r="G386" s="1070"/>
      <c r="H386" s="1070"/>
      <c r="I386" s="1070"/>
      <c r="J386" s="1070"/>
      <c r="K386" s="1070"/>
      <c r="L386" s="1070"/>
      <c r="M386" s="1071"/>
      <c r="N386" s="1088"/>
      <c r="O386" s="129"/>
      <c r="Q386" s="246"/>
    </row>
    <row r="387" spans="1:27" ht="33.75" customHeight="1" thickBot="1" x14ac:dyDescent="0.3">
      <c r="A387" s="665"/>
      <c r="B387" s="256"/>
      <c r="C387" s="62"/>
      <c r="D387" s="1083"/>
      <c r="E387" s="1083"/>
      <c r="F387" s="2141" t="s">
        <v>1545</v>
      </c>
      <c r="G387" s="2142"/>
      <c r="H387" s="2142"/>
      <c r="I387" s="2142"/>
      <c r="J387" s="2142"/>
      <c r="K387" s="2142"/>
      <c r="L387" s="2142"/>
      <c r="M387" s="2143"/>
      <c r="N387" s="955"/>
      <c r="O387" s="302"/>
      <c r="Q387" s="246"/>
    </row>
    <row r="388" spans="1:27" ht="15" customHeight="1" x14ac:dyDescent="0.3">
      <c r="A388" s="173"/>
      <c r="B388" s="173"/>
      <c r="C388" s="796"/>
      <c r="D388" s="1073"/>
      <c r="E388" s="1073"/>
      <c r="F388" s="952"/>
      <c r="G388" s="1073"/>
      <c r="H388" s="1023"/>
      <c r="I388" s="955"/>
      <c r="J388" s="955"/>
      <c r="K388" s="1122"/>
      <c r="L388" s="1122"/>
      <c r="M388" s="1122"/>
      <c r="N388" s="955"/>
      <c r="P388" s="663"/>
      <c r="Q388" s="298"/>
      <c r="R388" s="298"/>
      <c r="S388" s="298"/>
      <c r="T388" s="298"/>
      <c r="U388" s="298"/>
      <c r="V388" s="298"/>
      <c r="W388" s="298"/>
      <c r="X388" s="298"/>
      <c r="Y388" s="298"/>
      <c r="Z388" s="298"/>
      <c r="AA388" s="298"/>
    </row>
    <row r="389" spans="1:27" ht="16.5" customHeight="1" x14ac:dyDescent="0.3">
      <c r="A389" s="173"/>
      <c r="B389" s="173"/>
      <c r="C389" s="796"/>
      <c r="D389" s="961" t="s">
        <v>286</v>
      </c>
      <c r="E389" s="961">
        <v>4</v>
      </c>
      <c r="F389" s="956" t="s">
        <v>1306</v>
      </c>
      <c r="G389" s="963"/>
      <c r="H389" s="955"/>
      <c r="I389" s="955"/>
      <c r="J389" s="955"/>
      <c r="K389" s="1122"/>
      <c r="L389" s="1122"/>
      <c r="M389" s="1122"/>
      <c r="N389" s="955"/>
      <c r="Q389" s="298"/>
      <c r="R389" s="298"/>
      <c r="S389" s="298"/>
      <c r="T389" s="298"/>
      <c r="U389" s="298"/>
      <c r="V389" s="298"/>
      <c r="W389" s="298"/>
      <c r="X389" s="298"/>
      <c r="Y389" s="298"/>
      <c r="Z389" s="298"/>
      <c r="AA389" s="298"/>
    </row>
    <row r="390" spans="1:27" ht="16.5" customHeight="1" x14ac:dyDescent="0.3">
      <c r="A390" s="144">
        <v>107</v>
      </c>
      <c r="B390" s="144">
        <v>45</v>
      </c>
      <c r="C390" s="796"/>
      <c r="D390" s="961" t="s">
        <v>286</v>
      </c>
      <c r="E390" s="961">
        <v>4.0999999999999996</v>
      </c>
      <c r="F390" s="1133" t="s">
        <v>39</v>
      </c>
      <c r="G390" s="963"/>
      <c r="H390" s="955"/>
      <c r="I390" s="955"/>
      <c r="J390" s="955"/>
      <c r="K390" s="1134"/>
      <c r="L390" s="1134"/>
      <c r="M390" s="1134"/>
      <c r="N390" s="955"/>
      <c r="Q390" s="230"/>
      <c r="R390" s="230"/>
      <c r="S390" s="230"/>
      <c r="T390" s="230"/>
      <c r="U390" s="230"/>
      <c r="V390" s="230"/>
      <c r="W390" s="230"/>
      <c r="X390" s="230"/>
      <c r="Y390" s="230"/>
      <c r="Z390" s="230"/>
      <c r="AA390" s="230"/>
    </row>
    <row r="391" spans="1:27" ht="16.5" customHeight="1" x14ac:dyDescent="0.3">
      <c r="A391" s="144"/>
      <c r="B391" s="144"/>
      <c r="C391" s="136"/>
      <c r="D391" s="963"/>
      <c r="E391" s="961"/>
      <c r="F391" s="963" t="s">
        <v>585</v>
      </c>
      <c r="G391" s="961"/>
      <c r="H391" s="955"/>
      <c r="I391" s="955"/>
      <c r="J391" s="955"/>
      <c r="K391" s="1119">
        <v>54</v>
      </c>
      <c r="L391" s="1119"/>
      <c r="M391" s="1119">
        <v>33</v>
      </c>
      <c r="N391" s="955"/>
      <c r="T391" s="227"/>
      <c r="U391" s="227"/>
    </row>
    <row r="392" spans="1:27" ht="16.5" customHeight="1" x14ac:dyDescent="0.3">
      <c r="A392" s="144"/>
      <c r="B392" s="144"/>
      <c r="C392" s="136"/>
      <c r="D392" s="961"/>
      <c r="E392" s="961"/>
      <c r="F392" s="963" t="s">
        <v>69</v>
      </c>
      <c r="G392" s="961"/>
      <c r="H392" s="955"/>
      <c r="I392" s="955"/>
      <c r="J392" s="955"/>
      <c r="K392" s="1119">
        <f>4200-793</f>
        <v>3407</v>
      </c>
      <c r="L392" s="1119">
        <v>18033</v>
      </c>
      <c r="M392" s="1119">
        <f>5000-4000+1000</f>
        <v>2000</v>
      </c>
      <c r="N392" s="955"/>
    </row>
    <row r="393" spans="1:27" ht="16.5" customHeight="1" x14ac:dyDescent="0.3">
      <c r="A393" s="144"/>
      <c r="B393" s="144"/>
      <c r="C393" s="136"/>
      <c r="D393" s="1073"/>
      <c r="E393" s="1073"/>
      <c r="F393" s="963" t="s">
        <v>446</v>
      </c>
      <c r="G393" s="1073"/>
      <c r="H393" s="955"/>
      <c r="I393" s="955"/>
      <c r="J393" s="955"/>
      <c r="K393" s="1119">
        <f>4000</f>
        <v>4000</v>
      </c>
      <c r="L393" s="1119"/>
      <c r="M393" s="1119">
        <f>4000-250</f>
        <v>3750</v>
      </c>
      <c r="N393" s="955"/>
    </row>
    <row r="394" spans="1:27" ht="16.5" customHeight="1" x14ac:dyDescent="0.3">
      <c r="A394" s="144">
        <v>107</v>
      </c>
      <c r="B394" s="144" t="s">
        <v>1347</v>
      </c>
      <c r="C394" s="136"/>
      <c r="D394" s="1073"/>
      <c r="E394" s="1073"/>
      <c r="F394" s="963" t="s">
        <v>1378</v>
      </c>
      <c r="G394" s="1073"/>
      <c r="H394" s="955"/>
      <c r="I394" s="955"/>
      <c r="J394" s="955"/>
      <c r="K394" s="1119">
        <f>10000-4000</f>
        <v>6000</v>
      </c>
      <c r="L394" s="1119"/>
      <c r="M394" s="1119">
        <v>9000</v>
      </c>
      <c r="N394" s="955"/>
      <c r="P394" s="569"/>
    </row>
    <row r="395" spans="1:27" ht="16.5" customHeight="1" x14ac:dyDescent="0.3">
      <c r="A395" s="144"/>
      <c r="B395" s="144"/>
      <c r="C395" s="136"/>
      <c r="D395" s="1073"/>
      <c r="E395" s="1073"/>
      <c r="F395" s="989" t="s">
        <v>402</v>
      </c>
      <c r="G395" s="1073"/>
      <c r="H395" s="955"/>
      <c r="I395" s="955"/>
      <c r="J395" s="955"/>
      <c r="K395" s="1123">
        <f>SUM(K391:K394)</f>
        <v>13461</v>
      </c>
      <c r="L395" s="1122"/>
      <c r="M395" s="1123">
        <f>SUM(M391:M394)</f>
        <v>14783</v>
      </c>
      <c r="N395" s="955"/>
      <c r="P395" s="569"/>
    </row>
    <row r="396" spans="1:27" ht="6.75" customHeight="1" x14ac:dyDescent="0.3">
      <c r="A396" s="144"/>
      <c r="B396" s="144"/>
      <c r="C396" s="136"/>
      <c r="D396" s="1073"/>
      <c r="E396" s="1073"/>
      <c r="F396" s="952"/>
      <c r="G396" s="1073"/>
      <c r="H396" s="1023"/>
      <c r="I396" s="955"/>
      <c r="J396" s="955"/>
      <c r="K396" s="1119"/>
      <c r="L396" s="1119"/>
      <c r="M396" s="1119"/>
      <c r="N396" s="955"/>
    </row>
    <row r="397" spans="1:27" ht="31.5" customHeight="1" x14ac:dyDescent="0.3">
      <c r="A397" s="144">
        <v>107</v>
      </c>
      <c r="B397" s="144">
        <v>48</v>
      </c>
      <c r="C397" s="136"/>
      <c r="D397" s="1073"/>
      <c r="E397" s="1073"/>
      <c r="F397" s="2147" t="s">
        <v>1935</v>
      </c>
      <c r="G397" s="2147"/>
      <c r="H397" s="2147"/>
      <c r="I397" s="2147"/>
      <c r="J397" s="2147"/>
      <c r="K397" s="2147"/>
      <c r="L397" s="2147"/>
      <c r="M397" s="2147"/>
      <c r="N397" s="955"/>
    </row>
    <row r="398" spans="1:27" ht="15" x14ac:dyDescent="0.3">
      <c r="A398" s="237"/>
      <c r="B398" s="237"/>
      <c r="C398" s="136"/>
      <c r="D398" s="1073"/>
      <c r="E398" s="1073"/>
      <c r="F398" s="989" t="s">
        <v>775</v>
      </c>
      <c r="G398" s="1845"/>
      <c r="H398" s="1845"/>
      <c r="I398" s="1845"/>
      <c r="J398" s="1845"/>
      <c r="K398" s="1845"/>
      <c r="L398" s="1845"/>
      <c r="M398" s="1845"/>
      <c r="N398" s="955"/>
    </row>
    <row r="399" spans="1:27" ht="15" x14ac:dyDescent="0.3">
      <c r="A399" s="237"/>
      <c r="B399" s="237"/>
      <c r="C399" s="136"/>
      <c r="D399" s="1073"/>
      <c r="E399" s="1073"/>
      <c r="F399" s="1135" t="str">
        <f>"i)Trust funds and deposits (note "&amp;'Note 6 to 8'!E127&amp;")"</f>
        <v>i)Trust funds and deposits (note 7.2)</v>
      </c>
      <c r="G399" s="1073"/>
      <c r="H399" s="955"/>
      <c r="I399" s="955"/>
      <c r="J399" s="955"/>
      <c r="K399" s="1119">
        <f>'Note 6 to 8'!Q134</f>
        <v>956</v>
      </c>
      <c r="L399" s="1119"/>
      <c r="M399" s="1119">
        <f>'Note 6 to 8'!S134</f>
        <v>574</v>
      </c>
      <c r="N399" s="955"/>
      <c r="O399" s="552"/>
    </row>
    <row r="400" spans="1:27" ht="15" x14ac:dyDescent="0.3">
      <c r="A400" s="144"/>
      <c r="B400" s="144"/>
      <c r="C400" s="136"/>
      <c r="D400" s="1073"/>
      <c r="E400" s="1073"/>
      <c r="F400" s="1135" t="str">
        <f>"ii) Unspent grant funds with conditions (note "&amp;E59&amp;")"</f>
        <v>ii) Unspent grant funds with conditions (note 2.4)</v>
      </c>
      <c r="G400" s="1135"/>
      <c r="H400" s="1135"/>
      <c r="I400" s="955"/>
      <c r="J400" s="955"/>
      <c r="K400" s="1119">
        <f>K117</f>
        <v>950</v>
      </c>
      <c r="L400" s="1119"/>
      <c r="M400" s="1119">
        <f>M117</f>
        <v>1400</v>
      </c>
      <c r="N400" s="955"/>
      <c r="O400" s="552"/>
      <c r="P400" s="301"/>
    </row>
    <row r="401" spans="1:20" ht="15" x14ac:dyDescent="0.3">
      <c r="A401" s="237"/>
      <c r="B401" s="237"/>
      <c r="C401" s="136"/>
      <c r="D401" s="1073"/>
      <c r="E401" s="1073"/>
      <c r="F401" s="1135"/>
      <c r="G401" s="1135"/>
      <c r="H401" s="1135"/>
      <c r="I401" s="955"/>
      <c r="J401" s="955"/>
      <c r="K401" s="1121">
        <f>SUM(K397:K400)</f>
        <v>1906</v>
      </c>
      <c r="L401" s="1119"/>
      <c r="M401" s="1121">
        <f>SUM(M397:M400)</f>
        <v>1974</v>
      </c>
      <c r="N401" s="955"/>
      <c r="O401" s="552"/>
      <c r="P401" s="301"/>
    </row>
    <row r="402" spans="1:20" ht="15" x14ac:dyDescent="0.3">
      <c r="A402" s="237"/>
      <c r="B402" s="237"/>
      <c r="C402" s="136"/>
      <c r="D402" s="1073"/>
      <c r="E402" s="1073"/>
      <c r="F402" s="1904" t="s">
        <v>1805</v>
      </c>
      <c r="G402" s="1135"/>
      <c r="H402" s="1135"/>
      <c r="I402" s="955"/>
      <c r="J402" s="955"/>
      <c r="K402" s="1119"/>
      <c r="L402" s="1119"/>
      <c r="M402" s="1119"/>
      <c r="N402" s="955"/>
      <c r="O402" s="552"/>
      <c r="P402" s="301"/>
    </row>
    <row r="403" spans="1:20" ht="15" x14ac:dyDescent="0.3">
      <c r="A403" s="144"/>
      <c r="B403" s="144"/>
      <c r="C403" s="136"/>
      <c r="D403" s="1073"/>
      <c r="E403" s="1073"/>
      <c r="F403" s="1135" t="str">
        <f>"iii) Landfill restoration (note "&amp;'Note 6 to 8'!E142&amp;")"</f>
        <v>iii) Landfill restoration (note 7.3)</v>
      </c>
      <c r="G403" s="955"/>
      <c r="H403" s="955"/>
      <c r="I403" s="955"/>
      <c r="J403" s="955"/>
      <c r="K403" s="1119">
        <f>'Note 6 to 8'!O152</f>
        <v>0</v>
      </c>
      <c r="L403" s="1119"/>
      <c r="M403" s="1119">
        <f>'Note 6 to 8'!O166</f>
        <v>0</v>
      </c>
      <c r="N403" s="955"/>
      <c r="O403" s="552"/>
    </row>
    <row r="404" spans="1:20" ht="15" x14ac:dyDescent="0.3">
      <c r="A404" s="237"/>
      <c r="B404" s="237"/>
      <c r="C404" s="136"/>
      <c r="D404" s="1073"/>
      <c r="E404" s="1073"/>
      <c r="F404" s="1135" t="str">
        <f>"iv) Employee provisions (note "&amp;'Note 6 to 8'!E142&amp;")"</f>
        <v>iv) Employee provisions (note 7.3)</v>
      </c>
      <c r="G404" s="955"/>
      <c r="H404" s="955"/>
      <c r="I404" s="955"/>
      <c r="J404" s="955"/>
      <c r="K404" s="1119">
        <f>'Note 6 to 8'!K152+'Note 6 to 8'!M152</f>
        <v>6962</v>
      </c>
      <c r="L404" s="1119"/>
      <c r="M404" s="1119">
        <f>'Note 6 to 8'!K166+'Note 6 to 8'!M166</f>
        <v>6962</v>
      </c>
      <c r="N404" s="955"/>
      <c r="O404" s="552"/>
    </row>
    <row r="405" spans="1:20" ht="15" x14ac:dyDescent="0.3">
      <c r="A405" s="237"/>
      <c r="B405" s="237"/>
      <c r="C405" s="136"/>
      <c r="D405" s="1073"/>
      <c r="E405" s="1073"/>
      <c r="F405" s="1135" t="str">
        <f>"v) Sport and recreation reserve funds (note "&amp;'Note 9'!D5&amp;")"</f>
        <v>v) Sport and recreation reserve funds (note 9.1)</v>
      </c>
      <c r="G405" s="1073"/>
      <c r="H405" s="955"/>
      <c r="I405" s="955"/>
      <c r="J405" s="955"/>
      <c r="K405" s="1119">
        <f>'Note 9'!J60</f>
        <v>1369</v>
      </c>
      <c r="L405" s="1119"/>
      <c r="M405" s="1119">
        <f>'Note 9'!J63</f>
        <v>1369</v>
      </c>
      <c r="N405" s="955"/>
      <c r="O405" s="552"/>
    </row>
    <row r="406" spans="1:20" ht="15" x14ac:dyDescent="0.3">
      <c r="A406" s="144"/>
      <c r="B406" s="144"/>
      <c r="C406" s="136"/>
      <c r="D406" s="1073"/>
      <c r="E406" s="1073"/>
      <c r="F406" s="1135" t="s">
        <v>1807</v>
      </c>
      <c r="G406" s="1135"/>
      <c r="H406" s="1135"/>
      <c r="I406" s="955"/>
      <c r="J406" s="955"/>
      <c r="K406" s="1119">
        <v>0</v>
      </c>
      <c r="L406" s="1119">
        <v>0</v>
      </c>
      <c r="M406" s="1119">
        <v>0</v>
      </c>
      <c r="N406" s="955"/>
      <c r="O406" s="301" t="s">
        <v>1549</v>
      </c>
    </row>
    <row r="407" spans="1:20" ht="15" x14ac:dyDescent="0.3">
      <c r="A407" s="144"/>
      <c r="B407" s="144"/>
      <c r="C407" s="136"/>
      <c r="D407" s="1073"/>
      <c r="E407" s="1073"/>
      <c r="F407" s="989" t="s">
        <v>1809</v>
      </c>
      <c r="G407" s="1073"/>
      <c r="H407" s="955"/>
      <c r="I407" s="955"/>
      <c r="J407" s="955"/>
      <c r="K407" s="1123">
        <f>SUM(K401:K406)</f>
        <v>10237</v>
      </c>
      <c r="L407" s="1119">
        <v>0</v>
      </c>
      <c r="M407" s="1123">
        <f>SUM(M401:M406)</f>
        <v>10305</v>
      </c>
      <c r="N407" s="955"/>
    </row>
    <row r="408" spans="1:20" ht="15" x14ac:dyDescent="0.3">
      <c r="A408" s="144"/>
      <c r="B408" s="144"/>
      <c r="C408" s="136"/>
      <c r="D408" s="1073"/>
      <c r="E408" s="1073"/>
      <c r="F408" s="989" t="s">
        <v>1810</v>
      </c>
      <c r="G408" s="1073"/>
      <c r="H408" s="955"/>
      <c r="I408" s="955"/>
      <c r="J408" s="955"/>
      <c r="K408" s="1121">
        <f>K395-K407</f>
        <v>3224</v>
      </c>
      <c r="L408" s="1119">
        <v>0</v>
      </c>
      <c r="M408" s="1121">
        <f>M395-M407</f>
        <v>4478</v>
      </c>
      <c r="N408" s="955"/>
      <c r="T408" s="246"/>
    </row>
    <row r="409" spans="1:20" ht="15" x14ac:dyDescent="0.3">
      <c r="A409" s="237"/>
      <c r="B409" s="237"/>
      <c r="C409" s="136"/>
      <c r="D409" s="1073"/>
      <c r="E409" s="1073"/>
      <c r="F409" s="986" t="s">
        <v>1814</v>
      </c>
      <c r="G409" s="1073"/>
      <c r="H409" s="955"/>
      <c r="I409" s="955"/>
      <c r="J409" s="955"/>
      <c r="K409" s="1119">
        <f>K460+K463</f>
        <v>200</v>
      </c>
      <c r="L409" s="1122">
        <f t="shared" ref="L409:M409" si="1">L460+L463</f>
        <v>0</v>
      </c>
      <c r="M409" s="1119">
        <f t="shared" si="1"/>
        <v>196</v>
      </c>
      <c r="N409" s="955"/>
      <c r="T409" s="246"/>
    </row>
    <row r="410" spans="1:20" ht="15" x14ac:dyDescent="0.3">
      <c r="A410" s="237"/>
      <c r="B410" s="237"/>
      <c r="C410" s="136"/>
      <c r="D410" s="1073"/>
      <c r="E410" s="1073"/>
      <c r="F410" s="989" t="s">
        <v>1815</v>
      </c>
      <c r="G410" s="1073"/>
      <c r="H410" s="955"/>
      <c r="I410" s="955"/>
      <c r="J410" s="955"/>
      <c r="K410" s="1123">
        <f>SUM(K408:K409)</f>
        <v>3424</v>
      </c>
      <c r="L410" s="1119"/>
      <c r="M410" s="1123">
        <f>SUM(M408:M409)</f>
        <v>4674</v>
      </c>
      <c r="N410" s="955"/>
      <c r="T410" s="246"/>
    </row>
    <row r="411" spans="1:20" ht="15.6" thickBot="1" x14ac:dyDescent="0.35">
      <c r="A411" s="237"/>
      <c r="B411" s="237"/>
      <c r="C411" s="136"/>
      <c r="D411" s="961"/>
      <c r="E411" s="961"/>
      <c r="F411" s="1133"/>
      <c r="G411" s="1073"/>
      <c r="H411" s="955"/>
      <c r="I411" s="955"/>
      <c r="J411" s="955"/>
      <c r="K411" s="1122"/>
      <c r="L411" s="1119"/>
      <c r="M411" s="1122"/>
      <c r="N411" s="955"/>
      <c r="T411" s="246"/>
    </row>
    <row r="412" spans="1:20" ht="15" x14ac:dyDescent="0.3">
      <c r="A412" s="237"/>
      <c r="B412" s="237"/>
      <c r="C412" s="136"/>
      <c r="D412" s="1073"/>
      <c r="E412" s="1073"/>
      <c r="F412" s="1067" t="s">
        <v>1133</v>
      </c>
      <c r="G412" s="1068"/>
      <c r="H412" s="1068"/>
      <c r="I412" s="1068"/>
      <c r="J412" s="1068"/>
      <c r="K412" s="1068"/>
      <c r="L412" s="1068"/>
      <c r="M412" s="1069"/>
      <c r="N412" s="1137"/>
      <c r="T412" s="246"/>
    </row>
    <row r="413" spans="1:20" ht="6" customHeight="1" x14ac:dyDescent="0.3">
      <c r="A413" s="237"/>
      <c r="B413" s="237"/>
      <c r="C413" s="136"/>
      <c r="D413" s="1073"/>
      <c r="E413" s="1073"/>
      <c r="F413" s="1028"/>
      <c r="G413" s="1070"/>
      <c r="H413" s="1070"/>
      <c r="I413" s="1070"/>
      <c r="J413" s="1070"/>
      <c r="K413" s="1070"/>
      <c r="L413" s="1070"/>
      <c r="M413" s="1071"/>
      <c r="N413" s="1137"/>
      <c r="T413" s="246"/>
    </row>
    <row r="414" spans="1:20" ht="15" x14ac:dyDescent="0.3">
      <c r="A414" s="237"/>
      <c r="B414" s="237"/>
      <c r="C414" s="136"/>
      <c r="D414" s="1073"/>
      <c r="E414" s="1073"/>
      <c r="F414" s="1028" t="s">
        <v>39</v>
      </c>
      <c r="G414" s="1070"/>
      <c r="H414" s="1070"/>
      <c r="I414" s="1070"/>
      <c r="J414" s="1070"/>
      <c r="K414" s="1070"/>
      <c r="L414" s="1070"/>
      <c r="M414" s="1071"/>
      <c r="N414" s="1137"/>
      <c r="T414" s="246"/>
    </row>
    <row r="415" spans="1:20" ht="34.5" customHeight="1" x14ac:dyDescent="0.3">
      <c r="A415" s="256">
        <v>107</v>
      </c>
      <c r="B415" s="256">
        <v>46</v>
      </c>
      <c r="C415" s="136"/>
      <c r="D415" s="1073"/>
      <c r="E415" s="1073"/>
      <c r="F415" s="2132" t="s">
        <v>1221</v>
      </c>
      <c r="G415" s="2133"/>
      <c r="H415" s="2133"/>
      <c r="I415" s="2133"/>
      <c r="J415" s="2133"/>
      <c r="K415" s="2133"/>
      <c r="L415" s="2133"/>
      <c r="M415" s="2134"/>
      <c r="N415" s="1137"/>
      <c r="T415" s="246"/>
    </row>
    <row r="416" spans="1:20" ht="15" x14ac:dyDescent="0.3">
      <c r="A416" s="237">
        <v>107</v>
      </c>
      <c r="B416" s="237">
        <v>48</v>
      </c>
      <c r="C416" s="136"/>
      <c r="D416" s="1073"/>
      <c r="E416" s="1073"/>
      <c r="F416" s="1906" t="s">
        <v>1816</v>
      </c>
      <c r="G416" s="1905"/>
      <c r="H416" s="1905"/>
      <c r="I416" s="1050"/>
      <c r="J416" s="1905"/>
      <c r="K416" s="1050"/>
      <c r="L416" s="1050"/>
      <c r="M416" s="1051"/>
      <c r="N416" s="1137"/>
      <c r="T416" s="246"/>
    </row>
    <row r="417" spans="1:20" ht="15" x14ac:dyDescent="0.3">
      <c r="A417" s="237"/>
      <c r="B417" s="237"/>
      <c r="C417" s="136"/>
      <c r="D417" s="1073"/>
      <c r="E417" s="1073"/>
      <c r="F417" s="1907" t="s">
        <v>1936</v>
      </c>
      <c r="G417" s="1908"/>
      <c r="H417" s="1908"/>
      <c r="I417" s="1908"/>
      <c r="J417" s="1908"/>
      <c r="K417" s="1908"/>
      <c r="L417" s="1908"/>
      <c r="M417" s="1909"/>
      <c r="N417" s="955"/>
      <c r="O417" s="301" t="s">
        <v>1550</v>
      </c>
      <c r="T417" s="246"/>
    </row>
    <row r="418" spans="1:20" ht="30.75" customHeight="1" x14ac:dyDescent="0.3">
      <c r="A418" s="237"/>
      <c r="B418" s="237"/>
      <c r="C418" s="136"/>
      <c r="D418" s="1073"/>
      <c r="E418" s="1073"/>
      <c r="F418" s="2165" t="s">
        <v>1548</v>
      </c>
      <c r="G418" s="2166"/>
      <c r="H418" s="2166"/>
      <c r="I418" s="2166"/>
      <c r="J418" s="2166"/>
      <c r="K418" s="2166"/>
      <c r="L418" s="2166"/>
      <c r="M418" s="2167"/>
      <c r="N418" s="955"/>
      <c r="T418" s="246"/>
    </row>
    <row r="419" spans="1:20" ht="15" x14ac:dyDescent="0.3">
      <c r="A419" s="237"/>
      <c r="B419" s="237"/>
      <c r="C419" s="136"/>
      <c r="D419" s="1073"/>
      <c r="E419" s="1073"/>
      <c r="F419" s="1907" t="s">
        <v>1806</v>
      </c>
      <c r="G419" s="1908"/>
      <c r="H419" s="1908"/>
      <c r="I419" s="1908"/>
      <c r="J419" s="1908"/>
      <c r="K419" s="1908"/>
      <c r="L419" s="1908"/>
      <c r="M419" s="1909"/>
      <c r="N419" s="955"/>
      <c r="T419" s="246"/>
    </row>
    <row r="420" spans="1:20" ht="15" x14ac:dyDescent="0.3">
      <c r="A420" s="237"/>
      <c r="B420" s="237"/>
      <c r="C420" s="136"/>
      <c r="D420" s="1073"/>
      <c r="E420" s="1073"/>
      <c r="F420" s="1907" t="s">
        <v>1808</v>
      </c>
      <c r="G420" s="1908"/>
      <c r="H420" s="1908"/>
      <c r="I420" s="1908"/>
      <c r="J420" s="1908"/>
      <c r="K420" s="1908"/>
      <c r="L420" s="1908"/>
      <c r="M420" s="1909"/>
      <c r="N420" s="955"/>
      <c r="T420" s="246"/>
    </row>
    <row r="421" spans="1:20" ht="15" x14ac:dyDescent="0.3">
      <c r="A421" s="237"/>
      <c r="B421" s="237"/>
      <c r="C421" s="136"/>
      <c r="D421" s="1073"/>
      <c r="E421" s="1073"/>
      <c r="F421" s="1907" t="s">
        <v>1937</v>
      </c>
      <c r="G421" s="1908"/>
      <c r="H421" s="1908"/>
      <c r="I421" s="1908"/>
      <c r="J421" s="1908"/>
      <c r="K421" s="1908"/>
      <c r="L421" s="1908"/>
      <c r="M421" s="1909"/>
      <c r="N421" s="955"/>
      <c r="T421" s="246"/>
    </row>
    <row r="422" spans="1:20" ht="15" x14ac:dyDescent="0.3">
      <c r="A422" s="237"/>
      <c r="B422" s="237"/>
      <c r="C422" s="136"/>
      <c r="D422" s="1073"/>
      <c r="E422" s="1073"/>
      <c r="F422" s="1907" t="s">
        <v>1938</v>
      </c>
      <c r="G422" s="1908"/>
      <c r="H422" s="1908"/>
      <c r="I422" s="1908"/>
      <c r="J422" s="1908"/>
      <c r="K422" s="1908"/>
      <c r="L422" s="1908"/>
      <c r="M422" s="1909"/>
      <c r="N422" s="955"/>
      <c r="T422" s="246"/>
    </row>
    <row r="423" spans="1:20" ht="15.6" thickBot="1" x14ac:dyDescent="0.35">
      <c r="A423" s="237"/>
      <c r="B423" s="237"/>
      <c r="C423" s="136"/>
      <c r="D423" s="1073"/>
      <c r="E423" s="1073"/>
      <c r="F423" s="2011" t="s">
        <v>2065</v>
      </c>
      <c r="G423" s="1910"/>
      <c r="H423" s="1910"/>
      <c r="I423" s="1910"/>
      <c r="J423" s="1910"/>
      <c r="K423" s="1910"/>
      <c r="L423" s="1910"/>
      <c r="M423" s="1911"/>
      <c r="N423" s="955"/>
      <c r="T423" s="246"/>
    </row>
    <row r="424" spans="1:20" ht="15" x14ac:dyDescent="0.3">
      <c r="A424" s="144"/>
      <c r="B424" s="144"/>
      <c r="C424" s="136"/>
      <c r="D424" s="1073"/>
      <c r="E424" s="1073"/>
      <c r="F424" s="952"/>
      <c r="G424" s="1073"/>
      <c r="H424" s="1138"/>
      <c r="I424" s="955"/>
      <c r="J424" s="955"/>
      <c r="K424" s="988"/>
      <c r="L424" s="988"/>
      <c r="M424" s="988"/>
      <c r="N424" s="1137"/>
      <c r="O424" s="403"/>
    </row>
    <row r="425" spans="1:20" ht="15" x14ac:dyDescent="0.3">
      <c r="A425" s="144">
        <v>101</v>
      </c>
      <c r="B425" s="144" t="s">
        <v>811</v>
      </c>
      <c r="C425" s="136"/>
      <c r="D425" s="961" t="s">
        <v>286</v>
      </c>
      <c r="E425" s="961">
        <f>E390+0.1</f>
        <v>4.1999999999999993</v>
      </c>
      <c r="F425" s="960" t="s">
        <v>40</v>
      </c>
      <c r="G425" s="955"/>
      <c r="H425" s="955"/>
      <c r="I425" s="955"/>
      <c r="J425" s="955"/>
      <c r="K425" s="1139"/>
      <c r="L425" s="988"/>
      <c r="M425" s="1139"/>
      <c r="N425" s="955"/>
    </row>
    <row r="426" spans="1:20" ht="16.5" customHeight="1" x14ac:dyDescent="0.3">
      <c r="A426" s="144"/>
      <c r="B426" s="144"/>
      <c r="C426" s="136"/>
      <c r="D426" s="963"/>
      <c r="E426" s="956"/>
      <c r="F426" s="1140" t="s">
        <v>586</v>
      </c>
      <c r="G426" s="955"/>
      <c r="H426" s="955"/>
      <c r="I426" s="955"/>
      <c r="J426" s="955"/>
      <c r="K426" s="958"/>
      <c r="L426" s="988"/>
      <c r="M426" s="954"/>
      <c r="N426" s="955"/>
    </row>
    <row r="427" spans="1:20" ht="16.5" customHeight="1" x14ac:dyDescent="0.3">
      <c r="A427" s="144"/>
      <c r="B427" s="144"/>
      <c r="C427" s="136"/>
      <c r="D427" s="956"/>
      <c r="E427" s="956"/>
      <c r="F427" s="966" t="s">
        <v>37</v>
      </c>
      <c r="G427" s="955"/>
      <c r="H427" s="955"/>
      <c r="I427" s="955"/>
      <c r="J427" s="955"/>
      <c r="K427" s="1119">
        <v>2631</v>
      </c>
      <c r="L427" s="1119"/>
      <c r="M427" s="1119">
        <v>2482</v>
      </c>
      <c r="N427" s="955"/>
    </row>
    <row r="428" spans="1:20" ht="16.5" customHeight="1" x14ac:dyDescent="0.3">
      <c r="A428" s="144"/>
      <c r="B428" s="144"/>
      <c r="C428" s="950"/>
      <c r="D428" s="956"/>
      <c r="E428" s="956"/>
      <c r="F428" s="1141" t="s">
        <v>445</v>
      </c>
      <c r="G428" s="1001"/>
      <c r="H428" s="1001"/>
      <c r="I428" s="1001"/>
      <c r="J428" s="1001"/>
      <c r="K428" s="1142">
        <v>1714</v>
      </c>
      <c r="L428" s="1119"/>
      <c r="M428" s="1119">
        <v>1491</v>
      </c>
      <c r="N428" s="955"/>
    </row>
    <row r="429" spans="1:20" ht="16.5" customHeight="1" x14ac:dyDescent="0.3">
      <c r="A429" s="144">
        <v>7</v>
      </c>
      <c r="B429" s="144" t="s">
        <v>222</v>
      </c>
      <c r="C429" s="950"/>
      <c r="D429" s="963"/>
      <c r="E429" s="963"/>
      <c r="F429" s="1141" t="s">
        <v>1362</v>
      </c>
      <c r="G429" s="1001"/>
      <c r="H429" s="1001"/>
      <c r="I429" s="1001"/>
      <c r="J429" s="1001"/>
      <c r="K429" s="1119">
        <f>-1000</f>
        <v>-1000</v>
      </c>
      <c r="L429" s="1119"/>
      <c r="M429" s="1119">
        <f>-1110</f>
        <v>-1110</v>
      </c>
      <c r="N429" s="955"/>
      <c r="P429" s="301"/>
    </row>
    <row r="430" spans="1:20" ht="16.5" customHeight="1" x14ac:dyDescent="0.3">
      <c r="A430" s="144"/>
      <c r="B430" s="144"/>
      <c r="C430" s="950"/>
      <c r="D430" s="963"/>
      <c r="E430" s="963"/>
      <c r="F430" s="1000" t="s">
        <v>146</v>
      </c>
      <c r="G430" s="1001"/>
      <c r="H430" s="1001"/>
      <c r="I430" s="1000"/>
      <c r="J430" s="1000"/>
      <c r="K430" s="1119">
        <v>651</v>
      </c>
      <c r="L430" s="1119"/>
      <c r="M430" s="1119">
        <v>620</v>
      </c>
      <c r="N430" s="955"/>
      <c r="P430" s="301"/>
    </row>
    <row r="431" spans="1:20" ht="16.5" customHeight="1" x14ac:dyDescent="0.3">
      <c r="A431" s="144"/>
      <c r="B431" s="144"/>
      <c r="C431" s="950"/>
      <c r="D431" s="963"/>
      <c r="E431" s="963"/>
      <c r="F431" s="1141" t="s">
        <v>572</v>
      </c>
      <c r="G431" s="1001"/>
      <c r="H431" s="1001"/>
      <c r="I431" s="1001"/>
      <c r="J431" s="1001"/>
      <c r="K431" s="1119">
        <f>3898-164</f>
        <v>3734</v>
      </c>
      <c r="L431" s="1119"/>
      <c r="M431" s="1119">
        <v>1760</v>
      </c>
      <c r="N431" s="955"/>
      <c r="P431" s="301"/>
    </row>
    <row r="432" spans="1:20" ht="16.5" customHeight="1" x14ac:dyDescent="0.3">
      <c r="A432" s="144">
        <v>7</v>
      </c>
      <c r="B432" s="144" t="s">
        <v>222</v>
      </c>
      <c r="C432" s="950"/>
      <c r="D432" s="963"/>
      <c r="E432" s="963"/>
      <c r="F432" s="1141" t="s">
        <v>1363</v>
      </c>
      <c r="G432" s="1001"/>
      <c r="H432" s="1001"/>
      <c r="I432" s="1001"/>
      <c r="J432" s="1001"/>
      <c r="K432" s="1119">
        <f>-K447-K429</f>
        <v>-934</v>
      </c>
      <c r="L432" s="1119"/>
      <c r="M432" s="1119">
        <f>-M447-M429</f>
        <v>-564</v>
      </c>
      <c r="N432" s="955"/>
      <c r="P432" s="301"/>
    </row>
    <row r="433" spans="1:17" ht="16.5" customHeight="1" x14ac:dyDescent="0.3">
      <c r="A433" s="144"/>
      <c r="B433" s="144"/>
      <c r="C433" s="136"/>
      <c r="D433" s="963"/>
      <c r="E433" s="963"/>
      <c r="F433" s="966" t="s">
        <v>147</v>
      </c>
      <c r="G433" s="955"/>
      <c r="H433" s="955"/>
      <c r="I433" s="955"/>
      <c r="J433" s="955"/>
      <c r="K433" s="1142" t="s">
        <v>266</v>
      </c>
      <c r="L433" s="1119"/>
      <c r="M433" s="1119">
        <v>0</v>
      </c>
      <c r="N433" s="955"/>
      <c r="P433" s="700"/>
    </row>
    <row r="434" spans="1:17" ht="16.5" customHeight="1" x14ac:dyDescent="0.3">
      <c r="A434" s="144"/>
      <c r="B434" s="144"/>
      <c r="C434" s="136"/>
      <c r="D434" s="963"/>
      <c r="E434" s="963"/>
      <c r="F434" s="960" t="s">
        <v>103</v>
      </c>
      <c r="G434" s="955"/>
      <c r="H434" s="955"/>
      <c r="I434" s="955"/>
      <c r="J434" s="955"/>
      <c r="K434" s="1123">
        <f>SUM(K427:K433)</f>
        <v>6796</v>
      </c>
      <c r="L434" s="1122"/>
      <c r="M434" s="1123">
        <f>SUM(M427:M433)</f>
        <v>4679</v>
      </c>
      <c r="N434" s="955"/>
      <c r="P434" s="170"/>
    </row>
    <row r="435" spans="1:17" ht="9.9" customHeight="1" x14ac:dyDescent="0.3">
      <c r="A435" s="144"/>
      <c r="B435" s="144"/>
      <c r="C435" s="136"/>
      <c r="D435" s="963"/>
      <c r="E435" s="963"/>
      <c r="F435" s="963"/>
      <c r="G435" s="966"/>
      <c r="H435" s="955"/>
      <c r="I435" s="955"/>
      <c r="J435" s="955"/>
      <c r="K435" s="988"/>
      <c r="L435" s="988"/>
      <c r="M435" s="988"/>
      <c r="N435" s="955"/>
    </row>
    <row r="436" spans="1:17" ht="16.5" customHeight="1" x14ac:dyDescent="0.3">
      <c r="A436" s="144"/>
      <c r="B436" s="144"/>
      <c r="C436" s="136"/>
      <c r="D436" s="963"/>
      <c r="E436" s="963"/>
      <c r="F436" s="1140" t="s">
        <v>331</v>
      </c>
      <c r="G436" s="955"/>
      <c r="H436" s="955"/>
      <c r="I436" s="955"/>
      <c r="J436" s="955"/>
      <c r="K436" s="988"/>
      <c r="L436" s="988"/>
      <c r="M436" s="988"/>
      <c r="N436" s="955"/>
    </row>
    <row r="437" spans="1:17" ht="16.5" customHeight="1" x14ac:dyDescent="0.3">
      <c r="A437" s="144"/>
      <c r="B437" s="144"/>
      <c r="C437" s="136"/>
      <c r="D437" s="963"/>
      <c r="E437" s="963"/>
      <c r="F437" s="963" t="s">
        <v>146</v>
      </c>
      <c r="G437" s="955"/>
      <c r="H437" s="955"/>
      <c r="I437" s="955"/>
      <c r="J437" s="955"/>
      <c r="K437" s="1119">
        <v>12</v>
      </c>
      <c r="L437" s="988"/>
      <c r="M437" s="1119">
        <v>11</v>
      </c>
      <c r="N437" s="977"/>
      <c r="O437" s="101"/>
    </row>
    <row r="438" spans="1:17" ht="16.5" customHeight="1" x14ac:dyDescent="0.3">
      <c r="A438" s="144"/>
      <c r="B438" s="144"/>
      <c r="C438" s="136"/>
      <c r="D438" s="963"/>
      <c r="E438" s="963"/>
      <c r="F438" s="960" t="s">
        <v>103</v>
      </c>
      <c r="G438" s="955"/>
      <c r="H438" s="955"/>
      <c r="I438" s="955"/>
      <c r="J438" s="955"/>
      <c r="K438" s="1123">
        <f>SUM(K437:K437)</f>
        <v>12</v>
      </c>
      <c r="L438" s="988"/>
      <c r="M438" s="1123">
        <f>SUM(M437:M437)</f>
        <v>11</v>
      </c>
      <c r="N438" s="955"/>
    </row>
    <row r="439" spans="1:17" ht="9.9" customHeight="1" x14ac:dyDescent="0.3">
      <c r="A439" s="144"/>
      <c r="B439" s="144"/>
      <c r="C439" s="136"/>
      <c r="D439" s="963"/>
      <c r="E439" s="963"/>
      <c r="F439" s="966"/>
      <c r="G439" s="955"/>
      <c r="H439" s="955"/>
      <c r="I439" s="955"/>
      <c r="J439" s="955"/>
      <c r="K439" s="1119"/>
      <c r="L439" s="988"/>
      <c r="M439" s="1119"/>
      <c r="N439" s="955"/>
    </row>
    <row r="440" spans="1:17" ht="16.5" customHeight="1" x14ac:dyDescent="0.3">
      <c r="A440" s="144"/>
      <c r="B440" s="144"/>
      <c r="C440" s="136"/>
      <c r="D440" s="963"/>
      <c r="E440" s="963"/>
      <c r="F440" s="956" t="s">
        <v>403</v>
      </c>
      <c r="G440" s="955"/>
      <c r="H440" s="955"/>
      <c r="I440" s="955"/>
      <c r="J440" s="955"/>
      <c r="K440" s="1123">
        <f>+K434+K438</f>
        <v>6808</v>
      </c>
      <c r="L440" s="988"/>
      <c r="M440" s="1123">
        <f>+M434+M438</f>
        <v>4690</v>
      </c>
      <c r="N440" s="955"/>
      <c r="P440" s="748">
        <f>K440-M440</f>
        <v>2118</v>
      </c>
      <c r="Q440" s="749" t="s">
        <v>1729</v>
      </c>
    </row>
    <row r="441" spans="1:17" ht="9" customHeight="1" x14ac:dyDescent="0.3">
      <c r="A441" s="237"/>
      <c r="B441" s="237"/>
      <c r="C441" s="136"/>
      <c r="D441" s="963"/>
      <c r="E441" s="963"/>
      <c r="F441" s="956"/>
      <c r="G441" s="955"/>
      <c r="H441" s="955"/>
      <c r="I441" s="955"/>
      <c r="J441" s="955"/>
      <c r="K441" s="1122"/>
      <c r="L441" s="988"/>
      <c r="M441" s="1122"/>
      <c r="N441" s="955"/>
    </row>
    <row r="442" spans="1:17" ht="16.5" customHeight="1" x14ac:dyDescent="0.3">
      <c r="A442" s="237">
        <v>7</v>
      </c>
      <c r="B442" s="237" t="s">
        <v>1370</v>
      </c>
      <c r="C442" s="136"/>
      <c r="D442" s="963"/>
      <c r="E442" s="963"/>
      <c r="F442" s="956" t="s">
        <v>1367</v>
      </c>
      <c r="G442" s="955"/>
      <c r="H442" s="955"/>
      <c r="I442" s="955"/>
      <c r="J442" s="955"/>
      <c r="K442" s="1139"/>
      <c r="L442" s="1122"/>
      <c r="M442" s="972"/>
      <c r="N442" s="955"/>
    </row>
    <row r="443" spans="1:17" ht="16.5" customHeight="1" x14ac:dyDescent="0.3">
      <c r="A443" s="237"/>
      <c r="B443" s="237"/>
      <c r="C443" s="136"/>
      <c r="D443" s="963"/>
      <c r="E443" s="963"/>
      <c r="F443" s="956" t="s">
        <v>1366</v>
      </c>
      <c r="G443" s="955"/>
      <c r="H443" s="955"/>
      <c r="I443" s="955"/>
      <c r="J443" s="955"/>
      <c r="K443" s="1122">
        <f>M447</f>
        <v>1674</v>
      </c>
      <c r="L443" s="1122"/>
      <c r="M443" s="1122">
        <v>1424</v>
      </c>
      <c r="N443" s="955"/>
      <c r="O443" s="699"/>
    </row>
    <row r="444" spans="1:17" ht="16.5" customHeight="1" x14ac:dyDescent="0.3">
      <c r="A444" s="237"/>
      <c r="B444" s="237"/>
      <c r="C444" s="136"/>
      <c r="D444" s="963"/>
      <c r="E444" s="963"/>
      <c r="F444" s="963" t="s">
        <v>1364</v>
      </c>
      <c r="G444" s="955"/>
      <c r="H444" s="955"/>
      <c r="I444" s="955"/>
      <c r="J444" s="955"/>
      <c r="K444" s="1142" t="s">
        <v>266</v>
      </c>
      <c r="L444" s="1122"/>
      <c r="M444" s="1119" t="s">
        <v>266</v>
      </c>
      <c r="N444" s="955"/>
    </row>
    <row r="445" spans="1:17" ht="16.5" customHeight="1" x14ac:dyDescent="0.3">
      <c r="A445" s="237"/>
      <c r="B445" s="237"/>
      <c r="C445" s="136"/>
      <c r="D445" s="963"/>
      <c r="E445" s="963"/>
      <c r="F445" s="963" t="s">
        <v>1365</v>
      </c>
      <c r="G445" s="955"/>
      <c r="H445" s="955"/>
      <c r="I445" s="955"/>
      <c r="J445" s="955"/>
      <c r="K445" s="1142" t="s">
        <v>266</v>
      </c>
      <c r="L445" s="1122"/>
      <c r="M445" s="1119" t="s">
        <v>266</v>
      </c>
      <c r="N445" s="955"/>
    </row>
    <row r="446" spans="1:17" ht="16.5" customHeight="1" x14ac:dyDescent="0.3">
      <c r="A446" s="237"/>
      <c r="B446" s="237"/>
      <c r="C446" s="136"/>
      <c r="D446" s="963"/>
      <c r="E446" s="963"/>
      <c r="F446" s="963" t="s">
        <v>1369</v>
      </c>
      <c r="G446" s="955"/>
      <c r="H446" s="955"/>
      <c r="I446" s="955"/>
      <c r="J446" s="955"/>
      <c r="K446" s="1143">
        <v>260</v>
      </c>
      <c r="L446" s="1122"/>
      <c r="M446" s="1143">
        <v>250</v>
      </c>
      <c r="N446" s="955"/>
    </row>
    <row r="447" spans="1:17" ht="16.5" customHeight="1" x14ac:dyDescent="0.3">
      <c r="A447" s="237"/>
      <c r="B447" s="237"/>
      <c r="C447" s="136"/>
      <c r="D447" s="963"/>
      <c r="E447" s="963"/>
      <c r="F447" s="956" t="s">
        <v>1368</v>
      </c>
      <c r="G447" s="955"/>
      <c r="H447" s="955"/>
      <c r="I447" s="955"/>
      <c r="J447" s="955"/>
      <c r="K447" s="1123">
        <f>SUM(K443:K446)</f>
        <v>1934</v>
      </c>
      <c r="L447" s="1122"/>
      <c r="M447" s="1123">
        <f>SUM(M443:M446)</f>
        <v>1674</v>
      </c>
      <c r="N447" s="955"/>
    </row>
    <row r="448" spans="1:17" ht="9" customHeight="1" x14ac:dyDescent="0.3">
      <c r="A448" s="237"/>
      <c r="B448" s="237"/>
      <c r="C448" s="136"/>
      <c r="D448" s="963"/>
      <c r="E448" s="963"/>
      <c r="F448" s="956"/>
      <c r="G448" s="955"/>
      <c r="H448" s="955"/>
      <c r="I448" s="955"/>
      <c r="J448" s="955"/>
      <c r="K448" s="1122"/>
      <c r="L448" s="1122"/>
      <c r="M448" s="1122"/>
      <c r="N448" s="955"/>
    </row>
    <row r="449" spans="1:20" ht="16.5" customHeight="1" x14ac:dyDescent="0.3">
      <c r="A449" s="237"/>
      <c r="B449" s="237"/>
      <c r="C449" s="136"/>
      <c r="D449" s="963"/>
      <c r="E449" s="963"/>
      <c r="F449" s="963" t="s">
        <v>1671</v>
      </c>
      <c r="G449" s="955"/>
      <c r="H449" s="955"/>
      <c r="I449" s="955"/>
      <c r="J449" s="955"/>
      <c r="K449" s="1122"/>
      <c r="L449" s="1122"/>
      <c r="M449" s="1122"/>
      <c r="N449" s="955"/>
    </row>
    <row r="450" spans="1:20" ht="8.25" customHeight="1" thickBot="1" x14ac:dyDescent="0.35">
      <c r="A450" s="237"/>
      <c r="B450" s="237"/>
      <c r="C450" s="136"/>
      <c r="D450" s="963"/>
      <c r="E450" s="963"/>
      <c r="F450" s="955"/>
      <c r="G450" s="963"/>
      <c r="H450" s="956"/>
      <c r="I450" s="955"/>
      <c r="J450" s="955"/>
      <c r="K450" s="1122"/>
      <c r="L450" s="1122"/>
      <c r="M450" s="1122"/>
      <c r="N450" s="955"/>
    </row>
    <row r="451" spans="1:20" ht="15" x14ac:dyDescent="0.3">
      <c r="A451" s="237"/>
      <c r="B451" s="237"/>
      <c r="C451" s="136"/>
      <c r="D451" s="963"/>
      <c r="E451" s="963"/>
      <c r="F451" s="1025" t="s">
        <v>1133</v>
      </c>
      <c r="G451" s="1075"/>
      <c r="H451" s="1075"/>
      <c r="I451" s="1075"/>
      <c r="J451" s="1075"/>
      <c r="K451" s="1075"/>
      <c r="L451" s="1075"/>
      <c r="M451" s="1076"/>
      <c r="N451" s="955"/>
    </row>
    <row r="452" spans="1:20" ht="9.9" customHeight="1" x14ac:dyDescent="0.3">
      <c r="A452" s="237"/>
      <c r="B452" s="237"/>
      <c r="C452" s="136"/>
      <c r="D452" s="963"/>
      <c r="E452" s="963"/>
      <c r="F452" s="1028"/>
      <c r="G452" s="1070"/>
      <c r="H452" s="1070"/>
      <c r="I452" s="1070"/>
      <c r="J452" s="1070"/>
      <c r="K452" s="1070"/>
      <c r="L452" s="1070"/>
      <c r="M452" s="1071"/>
      <c r="N452" s="955"/>
    </row>
    <row r="453" spans="1:20" ht="16.5" customHeight="1" x14ac:dyDescent="0.3">
      <c r="A453" s="626">
        <v>101</v>
      </c>
      <c r="B453" s="626" t="s">
        <v>806</v>
      </c>
      <c r="C453" s="136"/>
      <c r="D453" s="963"/>
      <c r="E453" s="963"/>
      <c r="F453" s="1028" t="s">
        <v>40</v>
      </c>
      <c r="G453" s="1070"/>
      <c r="H453" s="1070"/>
      <c r="I453" s="1070"/>
      <c r="J453" s="1070"/>
      <c r="K453" s="1070"/>
      <c r="L453" s="1070"/>
      <c r="M453" s="1071"/>
      <c r="N453" s="955"/>
    </row>
    <row r="454" spans="1:20" ht="164.25" customHeight="1" thickBot="1" x14ac:dyDescent="0.35">
      <c r="A454" s="593"/>
      <c r="B454" s="593"/>
      <c r="C454" s="136"/>
      <c r="D454" s="963"/>
      <c r="E454" s="963"/>
      <c r="F454" s="2141" t="s">
        <v>1772</v>
      </c>
      <c r="G454" s="2142"/>
      <c r="H454" s="2142"/>
      <c r="I454" s="2142"/>
      <c r="J454" s="2142"/>
      <c r="K454" s="2142"/>
      <c r="L454" s="2142"/>
      <c r="M454" s="2143"/>
      <c r="N454" s="955"/>
      <c r="P454" s="301"/>
    </row>
    <row r="455" spans="1:20" ht="16.5" customHeight="1" x14ac:dyDescent="0.3">
      <c r="A455" s="144"/>
      <c r="B455" s="144"/>
      <c r="C455" s="136"/>
      <c r="D455" s="963"/>
      <c r="E455" s="963"/>
      <c r="F455" s="963"/>
      <c r="G455" s="963"/>
      <c r="H455" s="956"/>
      <c r="I455" s="955"/>
      <c r="J455" s="955"/>
      <c r="K455" s="988"/>
      <c r="L455" s="988"/>
      <c r="M455" s="988"/>
      <c r="N455" s="955"/>
    </row>
    <row r="456" spans="1:20" ht="16.5" customHeight="1" x14ac:dyDescent="0.3">
      <c r="A456" s="144">
        <v>101</v>
      </c>
      <c r="B456" s="144" t="s">
        <v>660</v>
      </c>
      <c r="C456" s="136"/>
      <c r="D456" s="961" t="s">
        <v>286</v>
      </c>
      <c r="E456" s="961">
        <f>E425+0.1</f>
        <v>4.2999999999999989</v>
      </c>
      <c r="F456" s="960" t="s">
        <v>1595</v>
      </c>
      <c r="G456" s="963"/>
      <c r="H456" s="955"/>
      <c r="I456" s="955"/>
      <c r="J456" s="955"/>
      <c r="K456" s="988"/>
      <c r="L456" s="988"/>
      <c r="M456" s="988"/>
      <c r="N456" s="955"/>
      <c r="O456" s="497"/>
    </row>
    <row r="457" spans="1:20" ht="16.5" customHeight="1" x14ac:dyDescent="0.3">
      <c r="A457" s="144"/>
      <c r="B457" s="144"/>
      <c r="C457" s="136"/>
      <c r="D457" s="961"/>
      <c r="E457" s="963"/>
      <c r="F457" s="1140" t="s">
        <v>586</v>
      </c>
      <c r="G457" s="963"/>
      <c r="H457" s="955"/>
      <c r="I457" s="955"/>
      <c r="J457" s="955"/>
      <c r="K457" s="988"/>
      <c r="L457" s="988"/>
      <c r="M457" s="988"/>
      <c r="N457" s="955"/>
      <c r="R457" s="127"/>
      <c r="S457" s="127"/>
      <c r="T457" s="127"/>
    </row>
    <row r="458" spans="1:20" ht="16.5" customHeight="1" x14ac:dyDescent="0.3">
      <c r="A458" s="144"/>
      <c r="B458" s="144"/>
      <c r="C458" s="136"/>
      <c r="D458" s="961"/>
      <c r="E458" s="963"/>
      <c r="F458" s="966" t="s">
        <v>1161</v>
      </c>
      <c r="G458" s="963"/>
      <c r="H458" s="955"/>
      <c r="I458" s="955"/>
      <c r="J458" s="955"/>
      <c r="K458" s="1144">
        <v>0</v>
      </c>
      <c r="L458" s="1145"/>
      <c r="M458" s="1144">
        <v>0</v>
      </c>
      <c r="N458" s="955"/>
      <c r="P458" s="301"/>
    </row>
    <row r="459" spans="1:20" ht="16.5" customHeight="1" x14ac:dyDescent="0.3">
      <c r="A459" s="237"/>
      <c r="B459" s="237"/>
      <c r="C459" s="136"/>
      <c r="D459" s="961"/>
      <c r="E459" s="963"/>
      <c r="F459" s="966" t="s">
        <v>1461</v>
      </c>
      <c r="G459" s="963"/>
      <c r="H459" s="955"/>
      <c r="I459" s="955"/>
      <c r="J459" s="955"/>
      <c r="K459" s="1144">
        <v>0</v>
      </c>
      <c r="L459" s="1145"/>
      <c r="M459" s="1144">
        <v>0</v>
      </c>
      <c r="N459" s="955"/>
      <c r="P459" s="301"/>
    </row>
    <row r="460" spans="1:20" ht="15" x14ac:dyDescent="0.3">
      <c r="A460" s="144"/>
      <c r="B460" s="144"/>
      <c r="C460" s="136"/>
      <c r="D460" s="961"/>
      <c r="E460" s="961"/>
      <c r="F460" s="1140"/>
      <c r="G460" s="963"/>
      <c r="H460" s="955"/>
      <c r="I460" s="955"/>
      <c r="J460" s="955"/>
      <c r="K460" s="1123">
        <f>SUM(K458:K459)</f>
        <v>0</v>
      </c>
      <c r="L460" s="1119"/>
      <c r="M460" s="1123">
        <f>SUM(M458:M459)</f>
        <v>0</v>
      </c>
      <c r="N460" s="955"/>
    </row>
    <row r="461" spans="1:20" ht="9.9" customHeight="1" x14ac:dyDescent="0.3">
      <c r="A461" s="237"/>
      <c r="B461" s="237"/>
      <c r="C461" s="136"/>
      <c r="D461" s="961"/>
      <c r="E461" s="961"/>
      <c r="F461" s="1140"/>
      <c r="G461" s="963"/>
      <c r="H461" s="955"/>
      <c r="I461" s="955"/>
      <c r="J461" s="955"/>
      <c r="K461" s="1122"/>
      <c r="L461" s="1119"/>
      <c r="M461" s="1122"/>
      <c r="N461" s="955"/>
    </row>
    <row r="462" spans="1:20" ht="16.5" customHeight="1" x14ac:dyDescent="0.3">
      <c r="A462" s="144"/>
      <c r="B462" s="144"/>
      <c r="C462" s="136"/>
      <c r="D462" s="961"/>
      <c r="E462" s="961"/>
      <c r="F462" s="1140" t="s">
        <v>331</v>
      </c>
      <c r="G462" s="963"/>
      <c r="H462" s="955"/>
      <c r="I462" s="955"/>
      <c r="J462" s="955"/>
      <c r="K462" s="1119"/>
      <c r="L462" s="1119"/>
      <c r="M462" s="1119"/>
      <c r="N462" s="955"/>
    </row>
    <row r="463" spans="1:20" ht="16.5" customHeight="1" x14ac:dyDescent="0.3">
      <c r="A463" s="144"/>
      <c r="B463" s="144"/>
      <c r="C463" s="136"/>
      <c r="D463" s="1073"/>
      <c r="E463" s="961"/>
      <c r="F463" s="966" t="s">
        <v>1162</v>
      </c>
      <c r="G463" s="963"/>
      <c r="H463" s="955"/>
      <c r="I463" s="955"/>
      <c r="J463" s="955"/>
      <c r="K463" s="1123">
        <v>200</v>
      </c>
      <c r="L463" s="1119"/>
      <c r="M463" s="1123">
        <v>196</v>
      </c>
      <c r="N463" s="955"/>
      <c r="P463" s="301"/>
    </row>
    <row r="464" spans="1:20" ht="16.5" customHeight="1" x14ac:dyDescent="0.3">
      <c r="A464" s="144"/>
      <c r="B464" s="144"/>
      <c r="C464" s="136"/>
      <c r="D464" s="1073"/>
      <c r="E464" s="961"/>
      <c r="F464" s="966" t="s">
        <v>447</v>
      </c>
      <c r="G464" s="963"/>
      <c r="H464" s="955"/>
      <c r="I464" s="955"/>
      <c r="J464" s="955"/>
      <c r="K464" s="1119"/>
      <c r="L464" s="1119"/>
      <c r="M464" s="1119"/>
      <c r="N464" s="955"/>
    </row>
    <row r="465" spans="1:16" ht="16.5" customHeight="1" x14ac:dyDescent="0.3">
      <c r="A465" s="144"/>
      <c r="B465" s="144"/>
      <c r="C465" s="136"/>
      <c r="D465" s="1073"/>
      <c r="E465" s="961"/>
      <c r="F465" s="1146" t="s">
        <v>1286</v>
      </c>
      <c r="G465" s="1147"/>
      <c r="H465" s="1148"/>
      <c r="I465" s="1148"/>
      <c r="J465" s="1148"/>
      <c r="K465" s="1149"/>
      <c r="L465" s="1149"/>
      <c r="M465" s="1149"/>
      <c r="N465" s="955"/>
    </row>
    <row r="466" spans="1:16" ht="17.25" customHeight="1" x14ac:dyDescent="0.3">
      <c r="A466" s="144"/>
      <c r="B466" s="144"/>
      <c r="C466" s="136"/>
      <c r="D466" s="1073"/>
      <c r="E466" s="961"/>
      <c r="F466" s="2154" t="s">
        <v>1324</v>
      </c>
      <c r="G466" s="2154"/>
      <c r="H466" s="2154"/>
      <c r="I466" s="2154"/>
      <c r="J466" s="2154"/>
      <c r="K466" s="2154"/>
      <c r="L466" s="2154"/>
      <c r="M466" s="2154"/>
      <c r="N466" s="955"/>
    </row>
    <row r="467" spans="1:16" ht="10.5" customHeight="1" thickBot="1" x14ac:dyDescent="0.35">
      <c r="A467" s="639"/>
      <c r="B467" s="639"/>
      <c r="C467" s="136"/>
      <c r="D467" s="955"/>
      <c r="E467" s="955"/>
      <c r="F467" s="955"/>
      <c r="G467" s="1150"/>
      <c r="H467" s="1150"/>
      <c r="I467" s="1150"/>
      <c r="J467" s="1150"/>
      <c r="K467" s="1150"/>
      <c r="L467" s="1150"/>
      <c r="M467" s="1150"/>
      <c r="N467" s="955"/>
    </row>
    <row r="468" spans="1:16" ht="15" x14ac:dyDescent="0.3">
      <c r="A468" s="237"/>
      <c r="B468" s="237"/>
      <c r="C468" s="136"/>
      <c r="D468" s="1073"/>
      <c r="E468" s="961"/>
      <c r="F468" s="1025" t="s">
        <v>1133</v>
      </c>
      <c r="G468" s="1075"/>
      <c r="H468" s="1075"/>
      <c r="I468" s="1075"/>
      <c r="J468" s="1075"/>
      <c r="K468" s="1075"/>
      <c r="L468" s="1075"/>
      <c r="M468" s="1076"/>
      <c r="N468" s="955"/>
    </row>
    <row r="469" spans="1:16" ht="8.25" customHeight="1" x14ac:dyDescent="0.3">
      <c r="A469" s="237"/>
      <c r="B469" s="237"/>
      <c r="C469" s="136"/>
      <c r="D469" s="1073"/>
      <c r="E469" s="1073"/>
      <c r="F469" s="1028"/>
      <c r="G469" s="1070"/>
      <c r="H469" s="1070"/>
      <c r="I469" s="1070"/>
      <c r="J469" s="1070"/>
      <c r="K469" s="1070"/>
      <c r="L469" s="1070"/>
      <c r="M469" s="1071"/>
      <c r="N469" s="955"/>
    </row>
    <row r="470" spans="1:16" ht="15" x14ac:dyDescent="0.3">
      <c r="A470" s="237"/>
      <c r="B470" s="237"/>
      <c r="C470" s="136"/>
      <c r="D470" s="1073"/>
      <c r="E470" s="1073"/>
      <c r="F470" s="1028" t="s">
        <v>1595</v>
      </c>
      <c r="G470" s="1070"/>
      <c r="H470" s="1070"/>
      <c r="I470" s="1070"/>
      <c r="J470" s="1070"/>
      <c r="K470" s="1070"/>
      <c r="L470" s="1070"/>
      <c r="M470" s="1071"/>
      <c r="N470" s="955"/>
      <c r="O470" s="497"/>
    </row>
    <row r="471" spans="1:16" ht="60.75" customHeight="1" x14ac:dyDescent="0.3">
      <c r="A471" s="256">
        <v>101</v>
      </c>
      <c r="B471" s="256" t="s">
        <v>806</v>
      </c>
      <c r="C471" s="136"/>
      <c r="D471" s="1073"/>
      <c r="E471" s="1073"/>
      <c r="F471" s="2132" t="s">
        <v>1773</v>
      </c>
      <c r="G471" s="2133"/>
      <c r="H471" s="2133"/>
      <c r="I471" s="2133"/>
      <c r="J471" s="2133"/>
      <c r="K471" s="2133"/>
      <c r="L471" s="2133"/>
      <c r="M471" s="2134"/>
      <c r="N471" s="955"/>
      <c r="P471" s="606"/>
    </row>
    <row r="472" spans="1:16" ht="93" customHeight="1" thickBot="1" x14ac:dyDescent="0.35">
      <c r="A472" s="237"/>
      <c r="B472" s="237"/>
      <c r="C472" s="136"/>
      <c r="D472" s="1073"/>
      <c r="E472" s="1073"/>
      <c r="F472" s="2159" t="s">
        <v>1774</v>
      </c>
      <c r="G472" s="2160"/>
      <c r="H472" s="2160"/>
      <c r="I472" s="2160"/>
      <c r="J472" s="2160"/>
      <c r="K472" s="2160"/>
      <c r="L472" s="2160"/>
      <c r="M472" s="2161"/>
      <c r="N472" s="955"/>
      <c r="O472" s="606" t="s">
        <v>1394</v>
      </c>
    </row>
    <row r="473" spans="1:16" ht="8.25" customHeight="1" x14ac:dyDescent="0.3">
      <c r="A473" s="144"/>
      <c r="B473" s="144"/>
      <c r="C473" s="136"/>
      <c r="D473" s="963"/>
      <c r="E473" s="1073"/>
      <c r="F473" s="952"/>
      <c r="G473" s="1073"/>
      <c r="H473" s="956"/>
      <c r="I473" s="955"/>
      <c r="J473" s="955"/>
      <c r="K473" s="1119"/>
      <c r="L473" s="1119"/>
      <c r="M473" s="1119"/>
      <c r="N473" s="955"/>
    </row>
    <row r="474" spans="1:16" ht="16.5" customHeight="1" x14ac:dyDescent="0.3">
      <c r="A474" s="144">
        <v>101</v>
      </c>
      <c r="B474" s="144" t="s">
        <v>812</v>
      </c>
      <c r="C474" s="136"/>
      <c r="D474" s="961" t="s">
        <v>286</v>
      </c>
      <c r="E474" s="961">
        <f>E456+0.1</f>
        <v>4.3999999999999986</v>
      </c>
      <c r="F474" s="960" t="s">
        <v>552</v>
      </c>
      <c r="G474" s="963"/>
      <c r="H474" s="955"/>
      <c r="I474" s="955"/>
      <c r="J474" s="955"/>
      <c r="K474" s="1119"/>
      <c r="L474" s="1119"/>
      <c r="M474" s="1119"/>
      <c r="N474" s="955"/>
    </row>
    <row r="475" spans="1:16" ht="16.5" customHeight="1" x14ac:dyDescent="0.3">
      <c r="A475" s="144">
        <v>102</v>
      </c>
      <c r="B475" s="144" t="s">
        <v>223</v>
      </c>
      <c r="C475" s="136"/>
      <c r="D475" s="963"/>
      <c r="E475" s="963"/>
      <c r="F475" s="966" t="s">
        <v>281</v>
      </c>
      <c r="G475" s="963"/>
      <c r="H475" s="955"/>
      <c r="I475" s="955"/>
      <c r="J475" s="955"/>
      <c r="K475" s="1119">
        <v>0</v>
      </c>
      <c r="L475" s="1119"/>
      <c r="M475" s="1119">
        <v>0</v>
      </c>
      <c r="N475" s="955"/>
    </row>
    <row r="476" spans="1:16" ht="16.5" customHeight="1" x14ac:dyDescent="0.3">
      <c r="A476" s="154"/>
      <c r="B476" s="154"/>
      <c r="C476" s="136"/>
      <c r="D476" s="963"/>
      <c r="E476" s="963"/>
      <c r="F476" s="966" t="s">
        <v>28</v>
      </c>
      <c r="G476" s="963"/>
      <c r="H476" s="955"/>
      <c r="I476" s="955"/>
      <c r="J476" s="955"/>
      <c r="K476" s="1151">
        <v>0</v>
      </c>
      <c r="L476" s="1119"/>
      <c r="M476" s="1151">
        <v>0</v>
      </c>
      <c r="N476" s="955"/>
    </row>
    <row r="477" spans="1:16" ht="16.5" customHeight="1" x14ac:dyDescent="0.3">
      <c r="A477" s="154"/>
      <c r="B477" s="154"/>
      <c r="C477" s="136"/>
      <c r="D477" s="963"/>
      <c r="E477" s="963"/>
      <c r="F477" s="960" t="s">
        <v>404</v>
      </c>
      <c r="G477" s="963"/>
      <c r="H477" s="955"/>
      <c r="I477" s="955"/>
      <c r="J477" s="955"/>
      <c r="K477" s="1143">
        <f>SUM(K475:K476)</f>
        <v>0</v>
      </c>
      <c r="L477" s="1122"/>
      <c r="M477" s="1143">
        <f>SUM(M475:M476)</f>
        <v>0</v>
      </c>
      <c r="N477" s="955"/>
    </row>
    <row r="478" spans="1:16" ht="8.25" customHeight="1" thickBot="1" x14ac:dyDescent="0.35">
      <c r="A478" s="154"/>
      <c r="B478" s="154"/>
      <c r="C478" s="136"/>
      <c r="D478" s="963"/>
      <c r="E478" s="963"/>
      <c r="F478" s="955"/>
      <c r="G478" s="963"/>
      <c r="H478" s="960"/>
      <c r="I478" s="955"/>
      <c r="J478" s="955"/>
      <c r="K478" s="1122"/>
      <c r="L478" s="1122"/>
      <c r="M478" s="1122"/>
      <c r="N478" s="955"/>
    </row>
    <row r="479" spans="1:16" ht="16.5" customHeight="1" x14ac:dyDescent="0.3">
      <c r="A479" s="154"/>
      <c r="B479" s="154"/>
      <c r="C479" s="136"/>
      <c r="D479" s="963"/>
      <c r="E479" s="963"/>
      <c r="F479" s="1067" t="s">
        <v>1133</v>
      </c>
      <c r="G479" s="1068"/>
      <c r="H479" s="1068"/>
      <c r="I479" s="1068"/>
      <c r="J479" s="1068"/>
      <c r="K479" s="1068"/>
      <c r="L479" s="1068"/>
      <c r="M479" s="1069"/>
      <c r="N479" s="955"/>
    </row>
    <row r="480" spans="1:16" ht="5.25" customHeight="1" x14ac:dyDescent="0.3">
      <c r="A480" s="154"/>
      <c r="B480" s="154"/>
      <c r="C480" s="136"/>
      <c r="D480" s="963"/>
      <c r="E480" s="963"/>
      <c r="F480" s="1028"/>
      <c r="G480" s="1070"/>
      <c r="H480" s="1070"/>
      <c r="I480" s="1070"/>
      <c r="J480" s="1070"/>
      <c r="K480" s="1070"/>
      <c r="L480" s="1070"/>
      <c r="M480" s="1071"/>
      <c r="N480" s="955"/>
    </row>
    <row r="481" spans="1:20" ht="16.5" customHeight="1" x14ac:dyDescent="0.3">
      <c r="A481" s="256">
        <v>102</v>
      </c>
      <c r="B481" s="256">
        <v>9</v>
      </c>
      <c r="C481" s="136"/>
      <c r="D481" s="963"/>
      <c r="E481" s="963"/>
      <c r="F481" s="1028" t="s">
        <v>552</v>
      </c>
      <c r="G481" s="1070"/>
      <c r="H481" s="1070"/>
      <c r="I481" s="1070"/>
      <c r="J481" s="1070"/>
      <c r="K481" s="1070"/>
      <c r="L481" s="1070"/>
      <c r="M481" s="1071"/>
      <c r="N481" s="955"/>
    </row>
    <row r="482" spans="1:20" ht="46.5" customHeight="1" x14ac:dyDescent="0.3">
      <c r="A482" s="256">
        <v>102</v>
      </c>
      <c r="B482" s="256">
        <v>10.1</v>
      </c>
      <c r="C482" s="136"/>
      <c r="D482" s="963"/>
      <c r="E482" s="963"/>
      <c r="F482" s="2132" t="s">
        <v>1775</v>
      </c>
      <c r="G482" s="2133"/>
      <c r="H482" s="2133"/>
      <c r="I482" s="2133"/>
      <c r="J482" s="2133"/>
      <c r="K482" s="2133"/>
      <c r="L482" s="2133"/>
      <c r="M482" s="2134"/>
      <c r="N482" s="955"/>
      <c r="R482" s="1"/>
      <c r="S482" s="1"/>
      <c r="T482" s="1"/>
    </row>
    <row r="483" spans="1:20" ht="8.25" customHeight="1" thickBot="1" x14ac:dyDescent="0.35">
      <c r="C483" s="136"/>
      <c r="D483" s="963"/>
      <c r="E483" s="963"/>
      <c r="F483" s="2141"/>
      <c r="G483" s="2142"/>
      <c r="H483" s="2142"/>
      <c r="I483" s="2142"/>
      <c r="J483" s="2142"/>
      <c r="K483" s="2142"/>
      <c r="L483" s="2142"/>
      <c r="M483" s="2143"/>
      <c r="N483" s="955"/>
      <c r="R483" s="1"/>
      <c r="S483" s="1"/>
      <c r="T483" s="1"/>
    </row>
    <row r="484" spans="1:20" ht="11.25" customHeight="1" x14ac:dyDescent="0.3">
      <c r="A484" s="154"/>
      <c r="B484" s="154"/>
      <c r="C484" s="136"/>
      <c r="D484" s="963"/>
      <c r="E484" s="963"/>
      <c r="F484" s="955"/>
      <c r="G484" s="963"/>
      <c r="H484" s="1152"/>
      <c r="I484" s="1152"/>
      <c r="J484" s="1152"/>
      <c r="K484" s="1152"/>
      <c r="L484" s="1152"/>
      <c r="M484" s="1152"/>
      <c r="N484" s="955"/>
      <c r="R484" s="1"/>
      <c r="S484" s="1"/>
      <c r="T484" s="1"/>
    </row>
    <row r="485" spans="1:20" ht="16.5" customHeight="1" x14ac:dyDescent="0.3">
      <c r="A485" s="144">
        <v>5</v>
      </c>
      <c r="B485" s="144" t="s">
        <v>693</v>
      </c>
      <c r="C485" s="136"/>
      <c r="D485" s="961" t="s">
        <v>286</v>
      </c>
      <c r="E485" s="961">
        <f>E474+0.1</f>
        <v>4.4999999999999982</v>
      </c>
      <c r="F485" s="960" t="s">
        <v>134</v>
      </c>
      <c r="G485" s="963"/>
      <c r="H485" s="955"/>
      <c r="I485" s="955"/>
      <c r="J485" s="955"/>
      <c r="K485" s="1153"/>
      <c r="L485" s="1153"/>
      <c r="M485" s="1119"/>
      <c r="N485" s="955"/>
      <c r="R485" s="1"/>
      <c r="S485" s="1"/>
      <c r="T485" s="1"/>
    </row>
    <row r="486" spans="1:20" ht="16.5" customHeight="1" x14ac:dyDescent="0.3">
      <c r="A486" s="144"/>
      <c r="B486" s="144"/>
      <c r="C486" s="136"/>
      <c r="D486" s="956"/>
      <c r="E486" s="963"/>
      <c r="F486" s="966" t="s">
        <v>872</v>
      </c>
      <c r="G486" s="963"/>
      <c r="H486" s="955"/>
      <c r="I486" s="955"/>
      <c r="J486" s="955"/>
      <c r="K486" s="1153">
        <v>6</v>
      </c>
      <c r="L486" s="1153"/>
      <c r="M486" s="1153">
        <v>6</v>
      </c>
      <c r="N486" s="955"/>
      <c r="P486" s="346"/>
      <c r="R486" s="1"/>
      <c r="S486" s="1"/>
      <c r="T486" s="1"/>
    </row>
    <row r="487" spans="1:20" ht="16.5" customHeight="1" x14ac:dyDescent="0.3">
      <c r="A487" s="144"/>
      <c r="B487" s="144"/>
      <c r="C487" s="136"/>
      <c r="D487" s="956"/>
      <c r="E487" s="963"/>
      <c r="F487" s="966" t="s">
        <v>871</v>
      </c>
      <c r="G487" s="963"/>
      <c r="H487" s="955"/>
      <c r="I487" s="955"/>
      <c r="J487" s="955"/>
      <c r="K487" s="1154">
        <v>0</v>
      </c>
      <c r="L487" s="1153"/>
      <c r="M487" s="1154">
        <v>0</v>
      </c>
      <c r="N487" s="955"/>
      <c r="R487" s="1"/>
      <c r="S487" s="1"/>
      <c r="T487" s="1"/>
    </row>
    <row r="488" spans="1:20" ht="16.5" customHeight="1" x14ac:dyDescent="0.3">
      <c r="A488" s="144"/>
      <c r="B488" s="144"/>
      <c r="C488" s="136"/>
      <c r="D488" s="963"/>
      <c r="E488" s="963"/>
      <c r="F488" s="1155" t="s">
        <v>103</v>
      </c>
      <c r="G488" s="963"/>
      <c r="H488" s="955"/>
      <c r="I488" s="1156"/>
      <c r="J488" s="1156"/>
      <c r="K488" s="1157">
        <f>SUM(K486:K487)</f>
        <v>6</v>
      </c>
      <c r="L488" s="1132"/>
      <c r="M488" s="1157">
        <f>SUM(M486:M487)</f>
        <v>6</v>
      </c>
      <c r="N488" s="955"/>
      <c r="R488" s="1"/>
      <c r="S488" s="1"/>
      <c r="T488" s="1"/>
    </row>
    <row r="489" spans="1:20" ht="5.25" customHeight="1" x14ac:dyDescent="0.3">
      <c r="A489" s="144"/>
      <c r="B489" s="144"/>
      <c r="C489" s="136"/>
      <c r="D489" s="963"/>
      <c r="E489" s="956"/>
      <c r="F489" s="957"/>
      <c r="G489" s="956"/>
      <c r="H489" s="1158"/>
      <c r="I489" s="1156"/>
      <c r="J489" s="1156"/>
      <c r="K489" s="1153"/>
      <c r="L489" s="1153"/>
      <c r="M489" s="1153"/>
      <c r="N489" s="955"/>
      <c r="R489" s="1"/>
      <c r="S489" s="1"/>
      <c r="T489" s="1"/>
    </row>
    <row r="490" spans="1:20" ht="16.5" customHeight="1" x14ac:dyDescent="0.3">
      <c r="A490" s="237"/>
      <c r="B490" s="237"/>
      <c r="C490" s="136"/>
      <c r="D490" s="963"/>
      <c r="E490" s="956"/>
      <c r="F490" s="1159" t="s">
        <v>901</v>
      </c>
      <c r="G490" s="1160"/>
      <c r="H490" s="1160"/>
      <c r="I490" s="1160"/>
      <c r="J490" s="1160"/>
      <c r="K490" s="1160"/>
      <c r="L490" s="1160"/>
      <c r="M490" s="1160"/>
      <c r="N490" s="955"/>
      <c r="O490" s="301" t="s">
        <v>991</v>
      </c>
      <c r="R490" s="1"/>
      <c r="S490" s="1"/>
      <c r="T490" s="1"/>
    </row>
    <row r="491" spans="1:20" ht="42" customHeight="1" x14ac:dyDescent="0.3">
      <c r="A491" s="156"/>
      <c r="B491" s="156"/>
      <c r="C491" s="796"/>
      <c r="D491" s="1073"/>
      <c r="E491" s="956"/>
      <c r="F491" s="2158" t="s">
        <v>869</v>
      </c>
      <c r="G491" s="2158"/>
      <c r="H491" s="2158"/>
      <c r="I491" s="2158"/>
      <c r="J491" s="2158"/>
      <c r="K491" s="2158"/>
      <c r="L491" s="2158"/>
      <c r="M491" s="2158"/>
      <c r="N491" s="952"/>
      <c r="O491" s="11"/>
      <c r="P491" s="347"/>
      <c r="R491" s="1"/>
      <c r="S491" s="1"/>
      <c r="T491" s="1"/>
    </row>
    <row r="492" spans="1:20" ht="47.25" customHeight="1" x14ac:dyDescent="0.3">
      <c r="A492" s="156"/>
      <c r="B492" s="156"/>
      <c r="C492" s="796"/>
      <c r="D492" s="1073"/>
      <c r="E492" s="956"/>
      <c r="F492" s="2158" t="s">
        <v>870</v>
      </c>
      <c r="G492" s="2158"/>
      <c r="H492" s="2158"/>
      <c r="I492" s="2158"/>
      <c r="J492" s="2158"/>
      <c r="K492" s="2158"/>
      <c r="L492" s="2158"/>
      <c r="M492" s="2158"/>
      <c r="N492" s="952"/>
      <c r="O492" s="11"/>
      <c r="R492" s="1"/>
      <c r="S492" s="1"/>
      <c r="T492" s="1"/>
    </row>
    <row r="493" spans="1:20" ht="6.75" customHeight="1" thickBot="1" x14ac:dyDescent="0.35">
      <c r="A493" s="156"/>
      <c r="B493" s="156"/>
      <c r="C493" s="796"/>
      <c r="D493" s="1073"/>
      <c r="E493" s="956"/>
      <c r="F493" s="952"/>
      <c r="G493" s="1073"/>
      <c r="H493" s="1161"/>
      <c r="I493" s="1161"/>
      <c r="J493" s="1161"/>
      <c r="K493" s="1161"/>
      <c r="L493" s="1161"/>
      <c r="M493" s="1161"/>
      <c r="N493" s="952"/>
      <c r="O493" s="11"/>
      <c r="R493" s="1"/>
      <c r="S493" s="1"/>
      <c r="T493" s="1"/>
    </row>
    <row r="494" spans="1:20" ht="15" x14ac:dyDescent="0.3">
      <c r="A494" s="156"/>
      <c r="B494" s="156"/>
      <c r="C494" s="796"/>
      <c r="D494" s="1073"/>
      <c r="E494" s="1073"/>
      <c r="F494" s="1067" t="s">
        <v>1133</v>
      </c>
      <c r="G494" s="1068"/>
      <c r="H494" s="1068"/>
      <c r="I494" s="1068"/>
      <c r="J494" s="1068"/>
      <c r="K494" s="1068"/>
      <c r="L494" s="1068"/>
      <c r="M494" s="1069"/>
      <c r="N494" s="952"/>
      <c r="O494" s="11"/>
      <c r="R494" s="1"/>
      <c r="S494" s="1"/>
      <c r="T494" s="1"/>
    </row>
    <row r="495" spans="1:20" ht="6.75" customHeight="1" x14ac:dyDescent="0.3">
      <c r="A495" s="156"/>
      <c r="B495" s="156"/>
      <c r="C495" s="796"/>
      <c r="D495" s="1073"/>
      <c r="E495" s="1073"/>
      <c r="F495" s="1028"/>
      <c r="G495" s="1070"/>
      <c r="H495" s="1070"/>
      <c r="I495" s="1070"/>
      <c r="J495" s="1070"/>
      <c r="K495" s="1070"/>
      <c r="L495" s="1070"/>
      <c r="M495" s="1071"/>
      <c r="N495" s="952"/>
      <c r="O495" s="11"/>
      <c r="R495" s="1"/>
      <c r="S495" s="1"/>
      <c r="T495" s="1"/>
    </row>
    <row r="496" spans="1:20" ht="14.4" x14ac:dyDescent="0.3">
      <c r="A496" s="256">
        <v>5</v>
      </c>
      <c r="B496" s="256" t="s">
        <v>689</v>
      </c>
      <c r="C496" s="796"/>
      <c r="D496" s="1073"/>
      <c r="E496" s="1073"/>
      <c r="F496" s="1028" t="s">
        <v>134</v>
      </c>
      <c r="G496" s="1070"/>
      <c r="H496" s="1070"/>
      <c r="I496" s="1070"/>
      <c r="J496" s="1070"/>
      <c r="K496" s="1070"/>
      <c r="L496" s="1070"/>
      <c r="M496" s="1071"/>
      <c r="N496" s="952"/>
      <c r="O496" s="11"/>
      <c r="R496" s="1"/>
      <c r="S496" s="1"/>
      <c r="T496" s="1"/>
    </row>
    <row r="497" spans="1:28" ht="84" customHeight="1" thickBot="1" x14ac:dyDescent="0.35">
      <c r="A497" s="156"/>
      <c r="B497" s="156"/>
      <c r="C497" s="796"/>
      <c r="D497" s="1073"/>
      <c r="E497" s="1073"/>
      <c r="F497" s="2141" t="s">
        <v>1167</v>
      </c>
      <c r="G497" s="2142"/>
      <c r="H497" s="2142"/>
      <c r="I497" s="2142"/>
      <c r="J497" s="2142"/>
      <c r="K497" s="2142"/>
      <c r="L497" s="2142"/>
      <c r="M497" s="2143"/>
      <c r="N497" s="952"/>
      <c r="O497" s="11"/>
      <c r="R497" s="1"/>
      <c r="S497" s="1"/>
      <c r="T497" s="1"/>
    </row>
    <row r="498" spans="1:28" ht="12.75" customHeight="1" x14ac:dyDescent="0.3">
      <c r="A498" s="237"/>
      <c r="B498" s="237"/>
      <c r="C498" s="136"/>
      <c r="D498" s="963"/>
      <c r="E498" s="963"/>
      <c r="F498" s="1155"/>
      <c r="G498" s="963"/>
      <c r="H498" s="955"/>
      <c r="I498" s="1156"/>
      <c r="J498" s="1156"/>
      <c r="K498" s="1156"/>
      <c r="L498" s="1156"/>
      <c r="M498" s="1156"/>
      <c r="N498" s="955"/>
      <c r="R498" s="1"/>
      <c r="S498" s="1"/>
      <c r="T498" s="1"/>
    </row>
    <row r="499" spans="1:28" ht="15" x14ac:dyDescent="0.3">
      <c r="A499" s="237"/>
      <c r="B499" s="237"/>
      <c r="C499" s="136"/>
      <c r="D499" s="963" t="s">
        <v>286</v>
      </c>
      <c r="E499" s="961">
        <f>E485+0.1</f>
        <v>4.5999999999999979</v>
      </c>
      <c r="F499" s="956" t="s">
        <v>1580</v>
      </c>
      <c r="G499" s="963"/>
      <c r="H499" s="955"/>
      <c r="I499" s="1156"/>
      <c r="J499" s="1156"/>
      <c r="K499" s="1156"/>
      <c r="L499" s="1156"/>
      <c r="M499" s="1156"/>
      <c r="N499" s="955"/>
      <c r="R499" s="1"/>
      <c r="S499" s="1"/>
      <c r="T499" s="1"/>
    </row>
    <row r="500" spans="1:28" ht="15" x14ac:dyDescent="0.3">
      <c r="A500" s="237"/>
      <c r="B500" s="237"/>
      <c r="C500" s="136"/>
      <c r="D500" s="963"/>
      <c r="E500" s="961"/>
      <c r="F500" s="1140" t="s">
        <v>586</v>
      </c>
      <c r="G500" s="963"/>
      <c r="H500" s="955"/>
      <c r="I500" s="1156"/>
      <c r="J500" s="1156"/>
      <c r="K500" s="1156"/>
      <c r="L500" s="1156"/>
      <c r="M500" s="1156"/>
      <c r="N500" s="955"/>
      <c r="R500" s="1"/>
      <c r="S500" s="1"/>
      <c r="T500" s="1"/>
    </row>
    <row r="501" spans="1:28" ht="15" x14ac:dyDescent="0.3">
      <c r="A501" s="237"/>
      <c r="B501" s="237"/>
      <c r="C501" s="136"/>
      <c r="D501" s="963"/>
      <c r="E501" s="963"/>
      <c r="F501" s="1138" t="s">
        <v>59</v>
      </c>
      <c r="G501" s="963"/>
      <c r="H501" s="955"/>
      <c r="I501" s="955"/>
      <c r="J501" s="955"/>
      <c r="K501" s="1153">
        <v>0</v>
      </c>
      <c r="L501" s="1153"/>
      <c r="M501" s="1153">
        <v>0</v>
      </c>
      <c r="N501" s="955"/>
      <c r="O501" s="694"/>
      <c r="R501" s="1"/>
      <c r="S501" s="1"/>
      <c r="T501" s="1"/>
    </row>
    <row r="502" spans="1:28" ht="15" x14ac:dyDescent="0.3">
      <c r="A502" s="237"/>
      <c r="B502" s="237"/>
      <c r="C502" s="136"/>
      <c r="D502" s="963"/>
      <c r="E502" s="963"/>
      <c r="F502" s="1138" t="s">
        <v>59</v>
      </c>
      <c r="G502" s="963"/>
      <c r="H502" s="955"/>
      <c r="I502" s="955"/>
      <c r="J502" s="955"/>
      <c r="K502" s="1154">
        <v>0</v>
      </c>
      <c r="L502" s="1153"/>
      <c r="M502" s="1154">
        <v>0</v>
      </c>
      <c r="N502" s="955"/>
      <c r="R502" s="1"/>
      <c r="S502" s="1"/>
      <c r="T502" s="1"/>
    </row>
    <row r="503" spans="1:28" ht="27.6" x14ac:dyDescent="0.3">
      <c r="A503" s="237"/>
      <c r="B503" s="237"/>
      <c r="C503" s="136"/>
      <c r="D503" s="963"/>
      <c r="E503" s="963"/>
      <c r="F503" s="1155" t="s">
        <v>103</v>
      </c>
      <c r="G503" s="963"/>
      <c r="H503" s="955"/>
      <c r="I503" s="1156"/>
      <c r="J503" s="1156"/>
      <c r="K503" s="1157">
        <f>SUM(K501:K502)</f>
        <v>0</v>
      </c>
      <c r="L503" s="1132"/>
      <c r="M503" s="1157">
        <f>SUM(M501:M502)</f>
        <v>0</v>
      </c>
      <c r="N503" s="955"/>
      <c r="R503" s="1"/>
      <c r="S503" s="1"/>
      <c r="T503" s="1"/>
    </row>
    <row r="504" spans="1:28" ht="12.75" customHeight="1" x14ac:dyDescent="0.3">
      <c r="A504" s="237"/>
      <c r="B504" s="237"/>
      <c r="C504" s="136"/>
      <c r="D504" s="963"/>
      <c r="E504" s="963"/>
      <c r="F504" s="1155"/>
      <c r="G504" s="963"/>
      <c r="H504" s="955"/>
      <c r="I504" s="1156"/>
      <c r="J504" s="1156"/>
      <c r="K504" s="1156"/>
      <c r="L504" s="1156"/>
      <c r="M504" s="1156"/>
      <c r="N504" s="955"/>
      <c r="R504" s="1"/>
      <c r="S504" s="1"/>
      <c r="T504" s="1"/>
    </row>
    <row r="505" spans="1:28" ht="12.75" customHeight="1" x14ac:dyDescent="0.3">
      <c r="A505" s="237"/>
      <c r="B505" s="237"/>
      <c r="C505" s="136"/>
      <c r="D505" s="963"/>
      <c r="E505" s="963"/>
      <c r="F505" s="1140" t="s">
        <v>331</v>
      </c>
      <c r="G505" s="963"/>
      <c r="H505" s="955"/>
      <c r="I505" s="1156"/>
      <c r="J505" s="1156"/>
      <c r="K505" s="1156"/>
      <c r="L505" s="1156"/>
      <c r="M505" s="1156"/>
      <c r="N505" s="955"/>
      <c r="R505" s="1"/>
      <c r="S505" s="1"/>
      <c r="T505" s="1"/>
    </row>
    <row r="506" spans="1:28" ht="15" x14ac:dyDescent="0.3">
      <c r="A506" s="237"/>
      <c r="B506" s="237"/>
      <c r="C506" s="136"/>
      <c r="D506" s="963"/>
      <c r="E506" s="963"/>
      <c r="F506" s="1138" t="s">
        <v>59</v>
      </c>
      <c r="G506" s="963"/>
      <c r="H506" s="955"/>
      <c r="I506" s="955"/>
      <c r="J506" s="955"/>
      <c r="K506" s="1153">
        <v>0</v>
      </c>
      <c r="L506" s="1153"/>
      <c r="M506" s="1153">
        <v>0</v>
      </c>
      <c r="N506" s="955"/>
      <c r="R506" s="1"/>
      <c r="S506" s="1"/>
      <c r="T506" s="1"/>
    </row>
    <row r="507" spans="1:28" ht="15" x14ac:dyDescent="0.3">
      <c r="A507" s="237"/>
      <c r="B507" s="237"/>
      <c r="C507" s="136"/>
      <c r="D507" s="963"/>
      <c r="E507" s="963"/>
      <c r="F507" s="1138" t="s">
        <v>59</v>
      </c>
      <c r="G507" s="963"/>
      <c r="H507" s="955"/>
      <c r="I507" s="955"/>
      <c r="J507" s="955"/>
      <c r="K507" s="1154">
        <v>0</v>
      </c>
      <c r="L507" s="1153"/>
      <c r="M507" s="1154">
        <v>0</v>
      </c>
      <c r="N507" s="955"/>
      <c r="R507" s="1"/>
      <c r="S507" s="1"/>
      <c r="T507" s="1"/>
    </row>
    <row r="508" spans="1:28" ht="27.6" x14ac:dyDescent="0.3">
      <c r="A508" s="237"/>
      <c r="B508" s="237"/>
      <c r="C508" s="136"/>
      <c r="D508" s="963"/>
      <c r="E508" s="963"/>
      <c r="F508" s="1155" t="s">
        <v>103</v>
      </c>
      <c r="G508" s="963"/>
      <c r="H508" s="955"/>
      <c r="I508" s="1156"/>
      <c r="J508" s="1156"/>
      <c r="K508" s="1157">
        <f>SUM(K506:K507)</f>
        <v>0</v>
      </c>
      <c r="L508" s="1132"/>
      <c r="M508" s="1157">
        <f>SUM(M506:M507)</f>
        <v>0</v>
      </c>
      <c r="N508" s="955"/>
      <c r="R508" s="1"/>
      <c r="S508" s="1"/>
      <c r="T508" s="1"/>
    </row>
    <row r="509" spans="1:28" ht="12.75" customHeight="1" thickBot="1" x14ac:dyDescent="0.35">
      <c r="A509" s="237"/>
      <c r="B509" s="237"/>
      <c r="C509" s="136"/>
      <c r="D509" s="963"/>
      <c r="E509" s="963"/>
      <c r="F509" s="1155"/>
      <c r="G509" s="963"/>
      <c r="H509" s="955"/>
      <c r="I509" s="1156"/>
      <c r="J509" s="1156"/>
      <c r="K509" s="1156"/>
      <c r="L509" s="1156"/>
      <c r="M509" s="1156"/>
      <c r="N509" s="955"/>
      <c r="R509" s="1"/>
      <c r="S509" s="1"/>
      <c r="T509" s="1"/>
    </row>
    <row r="510" spans="1:28" s="246" customFormat="1" ht="16.5" customHeight="1" x14ac:dyDescent="0.3">
      <c r="A510" s="160">
        <v>15</v>
      </c>
      <c r="B510" s="1165">
        <v>116</v>
      </c>
      <c r="C510" s="136"/>
      <c r="D510" s="955"/>
      <c r="E510" s="966"/>
      <c r="F510" s="2176" t="s">
        <v>1546</v>
      </c>
      <c r="G510" s="2177"/>
      <c r="H510" s="2177"/>
      <c r="I510" s="2177"/>
      <c r="J510" s="2177"/>
      <c r="K510" s="2177"/>
      <c r="L510" s="2177"/>
      <c r="M510" s="2178"/>
      <c r="N510" s="955"/>
      <c r="O510" s="1"/>
      <c r="P510" s="734"/>
      <c r="Q510" s="734"/>
      <c r="R510" s="734"/>
      <c r="S510" s="734"/>
      <c r="T510" s="734"/>
      <c r="U510" s="734"/>
      <c r="V510" s="52"/>
      <c r="W510" s="52"/>
      <c r="X510" s="52"/>
      <c r="Y510" s="52"/>
      <c r="Z510" s="52"/>
      <c r="AA510" s="52"/>
      <c r="AB510" s="52"/>
    </row>
    <row r="511" spans="1:28" s="246" customFormat="1" ht="8.25" customHeight="1" x14ac:dyDescent="0.3">
      <c r="A511" s="160"/>
      <c r="B511" s="1165"/>
      <c r="C511" s="136"/>
      <c r="D511" s="955"/>
      <c r="E511" s="966"/>
      <c r="F511" s="1162"/>
      <c r="G511" s="1163"/>
      <c r="H511" s="1163"/>
      <c r="I511" s="1163"/>
      <c r="J511" s="1163"/>
      <c r="K511" s="1163"/>
      <c r="L511" s="1163"/>
      <c r="M511" s="1164"/>
      <c r="N511" s="955"/>
      <c r="O511" s="1"/>
      <c r="P511" s="734"/>
      <c r="Q511" s="734"/>
      <c r="R511" s="734"/>
      <c r="S511" s="734"/>
      <c r="T511" s="734"/>
      <c r="U511" s="734"/>
      <c r="V511" s="52"/>
      <c r="W511" s="52"/>
      <c r="X511" s="52"/>
      <c r="Y511" s="52"/>
      <c r="Z511" s="52"/>
      <c r="AA511" s="52"/>
      <c r="AB511" s="52"/>
    </row>
    <row r="512" spans="1:28" s="246" customFormat="1" ht="48" customHeight="1" x14ac:dyDescent="0.3">
      <c r="A512" s="160">
        <v>15</v>
      </c>
      <c r="B512" s="1165">
        <v>118</v>
      </c>
      <c r="C512" s="136"/>
      <c r="D512" s="966"/>
      <c r="E512" s="966"/>
      <c r="F512" s="2151" t="s">
        <v>1582</v>
      </c>
      <c r="G512" s="2152"/>
      <c r="H512" s="2152"/>
      <c r="I512" s="2152"/>
      <c r="J512" s="2152"/>
      <c r="K512" s="2152"/>
      <c r="L512" s="2152"/>
      <c r="M512" s="2153"/>
      <c r="N512" s="955"/>
      <c r="O512" s="1"/>
      <c r="P512" s="734"/>
      <c r="Q512" s="734"/>
      <c r="R512" s="734"/>
      <c r="S512" s="734"/>
      <c r="T512" s="734"/>
      <c r="U512" s="734"/>
      <c r="V512" s="52"/>
      <c r="W512" s="52"/>
      <c r="X512" s="52"/>
      <c r="Y512" s="52"/>
      <c r="Z512" s="52"/>
      <c r="AA512" s="52"/>
      <c r="AB512" s="52"/>
    </row>
    <row r="513" spans="1:28" s="246" customFormat="1" ht="15" x14ac:dyDescent="0.3">
      <c r="A513" s="160">
        <v>7</v>
      </c>
      <c r="B513" s="1165" t="s">
        <v>1717</v>
      </c>
      <c r="C513" s="136"/>
      <c r="D513" s="1165"/>
      <c r="E513" s="966"/>
      <c r="F513" s="2151" t="s">
        <v>1861</v>
      </c>
      <c r="G513" s="2152"/>
      <c r="H513" s="2152"/>
      <c r="I513" s="2152"/>
      <c r="J513" s="2152"/>
      <c r="K513" s="2152"/>
      <c r="L513" s="2152"/>
      <c r="M513" s="2153"/>
      <c r="N513" s="955"/>
      <c r="O513" s="1"/>
      <c r="P513" s="734"/>
      <c r="Q513" s="734"/>
      <c r="R513" s="734"/>
      <c r="S513" s="734"/>
      <c r="T513" s="734"/>
      <c r="U513" s="734"/>
      <c r="V513" s="52"/>
      <c r="W513" s="52"/>
      <c r="X513" s="52"/>
      <c r="Y513" s="52"/>
      <c r="Z513" s="52"/>
      <c r="AA513" s="52"/>
      <c r="AB513" s="52"/>
    </row>
    <row r="514" spans="1:28" s="246" customFormat="1" ht="16.5" customHeight="1" x14ac:dyDescent="0.3">
      <c r="A514" s="255"/>
      <c r="B514" s="255"/>
      <c r="C514" s="136"/>
      <c r="D514" s="966"/>
      <c r="E514" s="966"/>
      <c r="F514" s="2151" t="s">
        <v>1581</v>
      </c>
      <c r="G514" s="2152"/>
      <c r="H514" s="2152"/>
      <c r="I514" s="2152"/>
      <c r="J514" s="2152"/>
      <c r="K514" s="2152"/>
      <c r="L514" s="2152"/>
      <c r="M514" s="2153"/>
      <c r="N514" s="955"/>
      <c r="O514" s="1"/>
      <c r="P514" s="734"/>
      <c r="Q514" s="734"/>
      <c r="R514" s="734"/>
      <c r="S514" s="734"/>
      <c r="T514" s="734"/>
      <c r="U514" s="734"/>
      <c r="V514" s="52"/>
      <c r="W514" s="52"/>
      <c r="X514" s="52"/>
      <c r="Y514" s="52"/>
      <c r="Z514" s="52"/>
      <c r="AA514" s="52"/>
      <c r="AB514" s="52"/>
    </row>
    <row r="515" spans="1:28" s="246" customFormat="1" ht="16.5" customHeight="1" x14ac:dyDescent="0.3">
      <c r="A515" s="255"/>
      <c r="B515" s="255"/>
      <c r="C515" s="136"/>
      <c r="D515" s="966"/>
      <c r="E515" s="966"/>
      <c r="F515" s="2151" t="s">
        <v>1862</v>
      </c>
      <c r="G515" s="2152"/>
      <c r="H515" s="2152"/>
      <c r="I515" s="2152"/>
      <c r="J515" s="2152"/>
      <c r="K515" s="2152"/>
      <c r="L515" s="2152"/>
      <c r="M515" s="2153"/>
      <c r="N515" s="955"/>
      <c r="O515" s="1"/>
      <c r="P515" s="734"/>
      <c r="Q515" s="734"/>
      <c r="R515" s="734"/>
      <c r="S515" s="734"/>
      <c r="T515" s="734"/>
      <c r="U515" s="734"/>
      <c r="V515" s="52"/>
      <c r="W515" s="52"/>
      <c r="X515" s="52"/>
      <c r="Y515" s="52"/>
      <c r="Z515" s="52"/>
      <c r="AA515" s="52"/>
      <c r="AB515" s="52"/>
    </row>
    <row r="516" spans="1:28" s="246" customFormat="1" ht="16.5" customHeight="1" x14ac:dyDescent="0.3">
      <c r="A516" s="255"/>
      <c r="B516" s="255"/>
      <c r="C516" s="136"/>
      <c r="D516" s="966"/>
      <c r="E516" s="966"/>
      <c r="F516" s="2151" t="s">
        <v>1863</v>
      </c>
      <c r="G516" s="2152"/>
      <c r="H516" s="2152"/>
      <c r="I516" s="2152"/>
      <c r="J516" s="2152"/>
      <c r="K516" s="2152"/>
      <c r="L516" s="2152"/>
      <c r="M516" s="2153"/>
      <c r="N516" s="955"/>
      <c r="O516" s="1"/>
      <c r="P516" s="734"/>
      <c r="Q516" s="734"/>
      <c r="R516" s="734"/>
      <c r="S516" s="734"/>
      <c r="T516" s="734"/>
      <c r="U516" s="734"/>
      <c r="V516" s="52"/>
      <c r="W516" s="52"/>
      <c r="X516" s="52"/>
      <c r="Y516" s="52"/>
      <c r="Z516" s="52"/>
      <c r="AA516" s="52"/>
      <c r="AB516" s="52"/>
    </row>
    <row r="517" spans="1:28" s="246" customFormat="1" ht="21" customHeight="1" thickBot="1" x14ac:dyDescent="0.35">
      <c r="A517" s="255"/>
      <c r="B517" s="255"/>
      <c r="C517" s="136"/>
      <c r="D517" s="966"/>
      <c r="E517" s="966"/>
      <c r="F517" s="2135"/>
      <c r="G517" s="2136"/>
      <c r="H517" s="2136"/>
      <c r="I517" s="2136"/>
      <c r="J517" s="2136"/>
      <c r="K517" s="2136"/>
      <c r="L517" s="2136"/>
      <c r="M517" s="2137"/>
      <c r="N517" s="955"/>
      <c r="O517" s="1"/>
      <c r="P517" s="734"/>
      <c r="Q517" s="734"/>
      <c r="R517" s="734"/>
      <c r="S517" s="734"/>
      <c r="T517" s="734"/>
      <c r="U517" s="734"/>
    </row>
    <row r="518" spans="1:28" ht="12.75" customHeight="1" thickBot="1" x14ac:dyDescent="0.35">
      <c r="A518" s="237"/>
      <c r="B518" s="237"/>
      <c r="C518" s="136"/>
      <c r="D518" s="963"/>
      <c r="E518" s="963"/>
      <c r="F518" s="1155"/>
      <c r="G518" s="963"/>
      <c r="H518" s="955"/>
      <c r="I518" s="1156"/>
      <c r="J518" s="1156"/>
      <c r="K518" s="1156"/>
      <c r="L518" s="1156"/>
      <c r="M518" s="1156"/>
      <c r="N518" s="955"/>
      <c r="R518" s="1"/>
      <c r="S518" s="1"/>
      <c r="T518" s="1"/>
    </row>
    <row r="519" spans="1:28" ht="82.5" customHeight="1" thickBot="1" x14ac:dyDescent="0.35">
      <c r="A519" s="237"/>
      <c r="B519" s="237"/>
      <c r="C519" s="136"/>
      <c r="D519" s="963"/>
      <c r="E519" s="963"/>
      <c r="F519" s="2173" t="s">
        <v>1977</v>
      </c>
      <c r="G519" s="2174"/>
      <c r="H519" s="2174"/>
      <c r="I519" s="2174"/>
      <c r="J519" s="2174"/>
      <c r="K519" s="2174"/>
      <c r="L519" s="2174"/>
      <c r="M519" s="2175"/>
      <c r="N519" s="955"/>
      <c r="O519" s="606" t="s">
        <v>1719</v>
      </c>
      <c r="R519" s="1"/>
      <c r="S519" s="1"/>
      <c r="T519" s="1"/>
    </row>
    <row r="520" spans="1:28" ht="12.75" customHeight="1" x14ac:dyDescent="0.3">
      <c r="A520" s="237"/>
      <c r="B520" s="237"/>
      <c r="C520" s="136"/>
      <c r="D520" s="963"/>
      <c r="E520" s="963"/>
      <c r="F520" s="1155"/>
      <c r="G520" s="963"/>
      <c r="H520" s="955"/>
      <c r="I520" s="1156"/>
      <c r="J520" s="1156"/>
      <c r="K520" s="1156"/>
      <c r="L520" s="1156"/>
      <c r="M520" s="1156"/>
      <c r="N520" s="955"/>
      <c r="R520" s="1"/>
      <c r="S520" s="1"/>
      <c r="T520" s="1"/>
    </row>
    <row r="521" spans="1:28" ht="14.4" x14ac:dyDescent="0.25">
      <c r="A521" s="517"/>
      <c r="B521" s="517"/>
      <c r="C521" s="62"/>
      <c r="D521" s="1078" t="s">
        <v>286</v>
      </c>
      <c r="E521" s="956">
        <v>5</v>
      </c>
      <c r="F521" s="960" t="s">
        <v>1689</v>
      </c>
      <c r="G521" s="963"/>
      <c r="H521" s="955"/>
      <c r="I521" s="1023"/>
      <c r="J521" s="1023"/>
      <c r="K521" s="1077"/>
      <c r="L521" s="1077"/>
      <c r="M521" s="1077"/>
      <c r="N521" s="955"/>
      <c r="Q521" s="246"/>
    </row>
    <row r="522" spans="1:28" ht="14.4" x14ac:dyDescent="0.25">
      <c r="A522" s="139" t="s">
        <v>54</v>
      </c>
      <c r="B522" s="139"/>
      <c r="C522" s="62"/>
      <c r="D522" s="961" t="s">
        <v>286</v>
      </c>
      <c r="E522" s="961">
        <v>5.0999999999999996</v>
      </c>
      <c r="F522" s="960" t="s">
        <v>444</v>
      </c>
      <c r="G522" s="963"/>
      <c r="H522" s="955"/>
      <c r="I522" s="1039"/>
      <c r="J522" s="1039"/>
      <c r="K522" s="1117"/>
      <c r="L522" s="1166"/>
      <c r="M522" s="1117"/>
      <c r="N522" s="955"/>
      <c r="Q522" s="3"/>
    </row>
    <row r="523" spans="1:28" ht="14.4" x14ac:dyDescent="0.25">
      <c r="A523" s="139">
        <v>128</v>
      </c>
      <c r="B523" s="139">
        <v>38</v>
      </c>
      <c r="C523" s="62"/>
      <c r="D523" s="1083"/>
      <c r="E523" s="963"/>
      <c r="F523" s="1014" t="s">
        <v>380</v>
      </c>
      <c r="G523" s="963"/>
      <c r="H523" s="955"/>
      <c r="I523" s="1023"/>
      <c r="J523" s="1023"/>
      <c r="K523" s="1117"/>
      <c r="L523" s="1166"/>
      <c r="M523" s="1117"/>
      <c r="N523" s="955"/>
      <c r="Q523" s="3"/>
    </row>
    <row r="524" spans="1:28" ht="15" customHeight="1" x14ac:dyDescent="0.25">
      <c r="A524" s="139"/>
      <c r="B524" s="139"/>
      <c r="C524" s="62"/>
      <c r="D524" s="1083"/>
      <c r="E524" s="963"/>
      <c r="F524" s="1126" t="s">
        <v>52</v>
      </c>
      <c r="G524" s="963"/>
      <c r="H524" s="955"/>
      <c r="I524" s="1023"/>
      <c r="J524" s="1023"/>
      <c r="K524" s="1118">
        <f>+K550</f>
        <v>0</v>
      </c>
      <c r="L524" s="1153"/>
      <c r="M524" s="1118">
        <f>+M550</f>
        <v>0</v>
      </c>
      <c r="N524" s="955"/>
      <c r="Q524" s="3"/>
    </row>
    <row r="525" spans="1:28" ht="14.4" x14ac:dyDescent="0.25">
      <c r="A525" s="139"/>
      <c r="B525" s="139"/>
      <c r="C525" s="62"/>
      <c r="D525" s="1083"/>
      <c r="E525" s="963"/>
      <c r="F525" s="1126" t="s">
        <v>424</v>
      </c>
      <c r="G525" s="963"/>
      <c r="H525" s="955"/>
      <c r="I525" s="1023"/>
      <c r="J525" s="1023"/>
      <c r="K525" s="1118">
        <v>0</v>
      </c>
      <c r="L525" s="1153"/>
      <c r="M525" s="1118">
        <v>0</v>
      </c>
      <c r="N525" s="955"/>
      <c r="Q525" s="3"/>
    </row>
    <row r="526" spans="1:28" ht="12.75" customHeight="1" x14ac:dyDescent="0.25">
      <c r="A526" s="139"/>
      <c r="B526" s="139"/>
      <c r="C526" s="62"/>
      <c r="D526" s="1083"/>
      <c r="E526" s="963"/>
      <c r="F526" s="1167" t="s">
        <v>103</v>
      </c>
      <c r="G526" s="963"/>
      <c r="H526" s="955"/>
      <c r="I526" s="1023"/>
      <c r="J526" s="1023"/>
      <c r="K526" s="1123">
        <f>SUM(K523:K525)</f>
        <v>0</v>
      </c>
      <c r="L526" s="1122"/>
      <c r="M526" s="1123">
        <f>SUM(M523:M525)</f>
        <v>0</v>
      </c>
      <c r="N526" s="955"/>
      <c r="Q526" s="3"/>
    </row>
    <row r="527" spans="1:28" ht="6.75" customHeight="1" x14ac:dyDescent="0.25">
      <c r="A527" s="139"/>
      <c r="B527" s="139"/>
      <c r="C527" s="62"/>
      <c r="D527" s="1083"/>
      <c r="E527" s="963"/>
      <c r="F527" s="1014"/>
      <c r="G527" s="963"/>
      <c r="H527" s="955"/>
      <c r="I527" s="1023"/>
      <c r="J527" s="1023"/>
      <c r="K527" s="1118"/>
      <c r="L527" s="1153"/>
      <c r="M527" s="1118"/>
      <c r="N527" s="955"/>
      <c r="Q527" s="3"/>
    </row>
    <row r="528" spans="1:28" ht="16.5" customHeight="1" x14ac:dyDescent="0.25">
      <c r="A528" s="139"/>
      <c r="B528" s="139"/>
      <c r="C528" s="62"/>
      <c r="D528" s="1083"/>
      <c r="E528" s="963"/>
      <c r="F528" s="1168" t="s">
        <v>632</v>
      </c>
      <c r="G528" s="963"/>
      <c r="H528" s="955"/>
      <c r="I528" s="1039"/>
      <c r="J528" s="1039"/>
      <c r="K528" s="1118"/>
      <c r="L528" s="1153"/>
      <c r="M528" s="1118"/>
      <c r="N528" s="955"/>
      <c r="Q528" s="3"/>
    </row>
    <row r="529" spans="1:17" ht="6.75" customHeight="1" x14ac:dyDescent="0.25">
      <c r="A529" s="139"/>
      <c r="B529" s="139"/>
      <c r="C529" s="62"/>
      <c r="D529" s="1083"/>
      <c r="E529" s="963"/>
      <c r="F529" s="1169"/>
      <c r="G529" s="963"/>
      <c r="H529" s="955"/>
      <c r="I529" s="1170"/>
      <c r="J529" s="1170"/>
      <c r="K529" s="1118"/>
      <c r="L529" s="1153"/>
      <c r="M529" s="1118"/>
      <c r="N529" s="955"/>
      <c r="Q529" s="3"/>
    </row>
    <row r="530" spans="1:17" ht="16.5" customHeight="1" x14ac:dyDescent="0.25">
      <c r="A530" s="139"/>
      <c r="B530" s="139"/>
      <c r="C530" s="62"/>
      <c r="D530" s="1083"/>
      <c r="E530" s="963"/>
      <c r="F530" s="1171" t="s">
        <v>633</v>
      </c>
      <c r="G530" s="963"/>
      <c r="H530" s="955"/>
      <c r="I530" s="995"/>
      <c r="J530" s="995"/>
      <c r="K530" s="1118"/>
      <c r="L530" s="1153"/>
      <c r="M530" s="1118"/>
      <c r="N530" s="955"/>
      <c r="Q530" s="3"/>
    </row>
    <row r="531" spans="1:17" ht="16.5" customHeight="1" x14ac:dyDescent="0.25">
      <c r="A531" s="139"/>
      <c r="B531" s="139"/>
      <c r="C531" s="62"/>
      <c r="D531" s="1083"/>
      <c r="E531" s="963"/>
      <c r="F531" s="1126" t="s">
        <v>495</v>
      </c>
      <c r="G531" s="963"/>
      <c r="H531" s="955"/>
      <c r="I531" s="1023"/>
      <c r="J531" s="1023"/>
      <c r="K531" s="1118"/>
      <c r="L531" s="1153"/>
      <c r="M531" s="1118"/>
      <c r="N531" s="955"/>
      <c r="Q531" s="3"/>
    </row>
    <row r="532" spans="1:17" ht="6.75" customHeight="1" x14ac:dyDescent="0.25">
      <c r="A532" s="139"/>
      <c r="B532" s="139"/>
      <c r="C532" s="62"/>
      <c r="D532" s="1083"/>
      <c r="E532" s="1083"/>
      <c r="F532" s="1023"/>
      <c r="G532" s="973"/>
      <c r="H532" s="1039"/>
      <c r="I532" s="1039"/>
      <c r="J532" s="1039"/>
      <c r="K532" s="1119"/>
      <c r="L532" s="1119"/>
      <c r="M532" s="1119"/>
      <c r="N532" s="955"/>
      <c r="Q532" s="3"/>
    </row>
    <row r="533" spans="1:17" ht="16.5" customHeight="1" x14ac:dyDescent="0.25">
      <c r="A533" s="139">
        <v>128</v>
      </c>
      <c r="B533" s="139" t="s">
        <v>220</v>
      </c>
      <c r="C533" s="62"/>
      <c r="D533" s="1083"/>
      <c r="E533" s="1083"/>
      <c r="F533" s="1172" t="s">
        <v>86</v>
      </c>
      <c r="G533" s="973"/>
      <c r="H533" s="955"/>
      <c r="I533" s="995"/>
      <c r="J533" s="995"/>
      <c r="K533" s="1119"/>
      <c r="L533" s="1119"/>
      <c r="M533" s="1119"/>
      <c r="N533" s="955"/>
      <c r="Q533" s="3"/>
    </row>
    <row r="534" spans="1:17" ht="16.5" customHeight="1" x14ac:dyDescent="0.25">
      <c r="A534" s="139"/>
      <c r="B534" s="139"/>
      <c r="C534" s="62"/>
      <c r="D534" s="1083"/>
      <c r="E534" s="1083"/>
      <c r="F534" s="1173" t="s">
        <v>88</v>
      </c>
      <c r="G534" s="973"/>
      <c r="H534" s="955"/>
      <c r="I534" s="1158"/>
      <c r="J534" s="1158"/>
      <c r="K534" s="1119">
        <f>+M538</f>
        <v>0</v>
      </c>
      <c r="L534" s="1119"/>
      <c r="M534" s="1119">
        <v>0</v>
      </c>
      <c r="N534" s="955"/>
      <c r="Q534" s="3"/>
    </row>
    <row r="535" spans="1:17" ht="16.5" customHeight="1" x14ac:dyDescent="0.25">
      <c r="A535" s="139"/>
      <c r="B535" s="139"/>
      <c r="C535" s="62"/>
      <c r="D535" s="1083"/>
      <c r="E535" s="1083"/>
      <c r="F535" s="1174" t="s">
        <v>529</v>
      </c>
      <c r="G535" s="973"/>
      <c r="H535" s="955"/>
      <c r="I535" s="1039"/>
      <c r="J535" s="1039"/>
      <c r="K535" s="1119">
        <v>0</v>
      </c>
      <c r="L535" s="1119"/>
      <c r="M535" s="1119">
        <v>0</v>
      </c>
      <c r="N535" s="955"/>
      <c r="Q535" s="3"/>
    </row>
    <row r="536" spans="1:17" ht="16.5" customHeight="1" x14ac:dyDescent="0.25">
      <c r="A536" s="139"/>
      <c r="B536" s="139"/>
      <c r="C536" s="62"/>
      <c r="D536" s="1083"/>
      <c r="E536" s="1083"/>
      <c r="F536" s="1174" t="s">
        <v>119</v>
      </c>
      <c r="G536" s="973"/>
      <c r="H536" s="955"/>
      <c r="I536" s="1039"/>
      <c r="J536" s="1039"/>
      <c r="K536" s="1119">
        <v>0</v>
      </c>
      <c r="L536" s="1119"/>
      <c r="M536" s="1119">
        <v>0</v>
      </c>
      <c r="N536" s="955"/>
      <c r="Q536" s="3"/>
    </row>
    <row r="537" spans="1:17" ht="16.5" customHeight="1" x14ac:dyDescent="0.25">
      <c r="A537" s="139"/>
      <c r="B537" s="139"/>
      <c r="C537" s="62"/>
      <c r="D537" s="1083"/>
      <c r="E537" s="1083"/>
      <c r="F537" s="1174" t="s">
        <v>381</v>
      </c>
      <c r="G537" s="973"/>
      <c r="H537" s="955"/>
      <c r="I537" s="1039"/>
      <c r="J537" s="1039"/>
      <c r="K537" s="1119">
        <v>0</v>
      </c>
      <c r="L537" s="1119"/>
      <c r="M537" s="1119">
        <v>0</v>
      </c>
      <c r="N537" s="955"/>
      <c r="Q537" s="3"/>
    </row>
    <row r="538" spans="1:17" ht="17.25" customHeight="1" x14ac:dyDescent="0.25">
      <c r="A538" s="139"/>
      <c r="B538" s="139"/>
      <c r="C538" s="62"/>
      <c r="D538" s="1083"/>
      <c r="E538" s="1083"/>
      <c r="F538" s="1173" t="s">
        <v>87</v>
      </c>
      <c r="G538" s="973"/>
      <c r="H538" s="955"/>
      <c r="I538" s="1158"/>
      <c r="J538" s="1158"/>
      <c r="K538" s="1123">
        <f>SUM(K533:K537)</f>
        <v>0</v>
      </c>
      <c r="L538" s="1122"/>
      <c r="M538" s="1123">
        <f>SUM(M533:M537)</f>
        <v>0</v>
      </c>
      <c r="N538" s="955"/>
      <c r="Q538" s="3"/>
    </row>
    <row r="539" spans="1:17" ht="6.75" customHeight="1" x14ac:dyDescent="0.25">
      <c r="A539" s="139"/>
      <c r="B539" s="139"/>
      <c r="C539" s="62"/>
      <c r="D539" s="1083"/>
      <c r="E539" s="1083"/>
      <c r="F539" s="989"/>
      <c r="G539" s="973"/>
      <c r="H539" s="955"/>
      <c r="I539" s="1039"/>
      <c r="J539" s="1039"/>
      <c r="K539" s="1119"/>
      <c r="L539" s="1119"/>
      <c r="M539" s="1119"/>
      <c r="N539" s="955"/>
      <c r="Q539" s="3"/>
    </row>
    <row r="540" spans="1:17" ht="14.25" customHeight="1" x14ac:dyDescent="0.25">
      <c r="A540" s="139"/>
      <c r="B540" s="139"/>
      <c r="C540" s="62"/>
      <c r="D540" s="1083"/>
      <c r="E540" s="1083"/>
      <c r="F540" s="1172" t="s">
        <v>634</v>
      </c>
      <c r="G540" s="973"/>
      <c r="H540" s="955"/>
      <c r="I540" s="995"/>
      <c r="J540" s="995"/>
      <c r="K540" s="1119"/>
      <c r="L540" s="1119"/>
      <c r="M540" s="1119"/>
      <c r="N540" s="955"/>
      <c r="Q540" s="3"/>
    </row>
    <row r="541" spans="1:17" ht="16.5" customHeight="1" x14ac:dyDescent="0.25">
      <c r="A541" s="139"/>
      <c r="B541" s="139"/>
      <c r="C541" s="62"/>
      <c r="D541" s="1083"/>
      <c r="E541" s="1083"/>
      <c r="F541" s="1174" t="s">
        <v>42</v>
      </c>
      <c r="G541" s="973"/>
      <c r="H541" s="955"/>
      <c r="I541" s="1039"/>
      <c r="J541" s="1039"/>
      <c r="K541" s="1119">
        <f>+M543</f>
        <v>0</v>
      </c>
      <c r="L541" s="1119"/>
      <c r="M541" s="1119">
        <v>0</v>
      </c>
      <c r="N541" s="955"/>
      <c r="Q541" s="3"/>
    </row>
    <row r="542" spans="1:17" ht="13.5" customHeight="1" x14ac:dyDescent="0.25">
      <c r="A542" s="139"/>
      <c r="B542" s="139"/>
      <c r="C542" s="62"/>
      <c r="D542" s="1083"/>
      <c r="E542" s="1083"/>
      <c r="F542" s="1174" t="s">
        <v>119</v>
      </c>
      <c r="G542" s="973"/>
      <c r="H542" s="955"/>
      <c r="I542" s="1039"/>
      <c r="J542" s="1039"/>
      <c r="K542" s="1119">
        <f>-K536</f>
        <v>0</v>
      </c>
      <c r="L542" s="1119"/>
      <c r="M542" s="1119">
        <f>-M536</f>
        <v>0</v>
      </c>
      <c r="N542" s="955"/>
      <c r="Q542" s="3"/>
    </row>
    <row r="543" spans="1:17" ht="16.5" customHeight="1" x14ac:dyDescent="0.25">
      <c r="A543" s="139"/>
      <c r="B543" s="139"/>
      <c r="C543" s="62"/>
      <c r="D543" s="1083"/>
      <c r="E543" s="1083"/>
      <c r="F543" s="1174" t="s">
        <v>626</v>
      </c>
      <c r="G543" s="973"/>
      <c r="H543" s="955"/>
      <c r="I543" s="1023"/>
      <c r="J543" s="1023"/>
      <c r="K543" s="1123">
        <f>SUM(K540:K542)</f>
        <v>0</v>
      </c>
      <c r="L543" s="1122"/>
      <c r="M543" s="1123">
        <f>SUM(M540:M542)</f>
        <v>0</v>
      </c>
      <c r="N543" s="955"/>
    </row>
    <row r="544" spans="1:17" ht="6.75" customHeight="1" x14ac:dyDescent="0.25">
      <c r="A544" s="139"/>
      <c r="B544" s="139"/>
      <c r="C544" s="62"/>
      <c r="D544" s="1083"/>
      <c r="E544" s="1083"/>
      <c r="F544" s="1174"/>
      <c r="G544" s="973"/>
      <c r="H544" s="955"/>
      <c r="I544" s="1023"/>
      <c r="J544" s="1023"/>
      <c r="K544" s="1119"/>
      <c r="L544" s="1119"/>
      <c r="M544" s="1119"/>
      <c r="N544" s="955"/>
    </row>
    <row r="545" spans="1:14" ht="14.4" x14ac:dyDescent="0.25">
      <c r="A545" s="139"/>
      <c r="B545" s="139"/>
      <c r="C545" s="62"/>
      <c r="D545" s="1083"/>
      <c r="E545" s="1083"/>
      <c r="F545" s="1172" t="s">
        <v>635</v>
      </c>
      <c r="G545" s="973"/>
      <c r="H545" s="955"/>
      <c r="I545" s="995"/>
      <c r="J545" s="995"/>
      <c r="K545" s="1119"/>
      <c r="L545" s="1119"/>
      <c r="M545" s="1119"/>
      <c r="N545" s="955"/>
    </row>
    <row r="546" spans="1:14" ht="14.4" x14ac:dyDescent="0.25">
      <c r="A546" s="139"/>
      <c r="B546" s="139"/>
      <c r="C546" s="62"/>
      <c r="D546" s="1083"/>
      <c r="E546" s="1083"/>
      <c r="F546" s="1174" t="s">
        <v>43</v>
      </c>
      <c r="G546" s="973"/>
      <c r="H546" s="955"/>
      <c r="I546" s="1039"/>
      <c r="J546" s="1039"/>
      <c r="K546" s="1119">
        <f>+M550</f>
        <v>0</v>
      </c>
      <c r="L546" s="1119"/>
      <c r="M546" s="1119">
        <v>0</v>
      </c>
      <c r="N546" s="955"/>
    </row>
    <row r="547" spans="1:14" ht="16.5" customHeight="1" x14ac:dyDescent="0.25">
      <c r="A547" s="139"/>
      <c r="B547" s="139"/>
      <c r="C547" s="62"/>
      <c r="D547" s="1083"/>
      <c r="E547" s="1083"/>
      <c r="F547" s="1174" t="s">
        <v>89</v>
      </c>
      <c r="G547" s="973"/>
      <c r="H547" s="955"/>
      <c r="I547" s="1039"/>
      <c r="J547" s="1039"/>
      <c r="K547" s="1119">
        <v>0</v>
      </c>
      <c r="L547" s="1119"/>
      <c r="M547" s="1119">
        <v>0</v>
      </c>
      <c r="N547" s="955"/>
    </row>
    <row r="548" spans="1:14" ht="16.5" customHeight="1" x14ac:dyDescent="0.25">
      <c r="A548" s="139"/>
      <c r="B548" s="139"/>
      <c r="C548" s="62"/>
      <c r="D548" s="1083"/>
      <c r="E548" s="1083"/>
      <c r="F548" s="1174" t="s">
        <v>44</v>
      </c>
      <c r="G548" s="973"/>
      <c r="H548" s="955"/>
      <c r="I548" s="1023"/>
      <c r="J548" s="1023"/>
      <c r="K548" s="1119">
        <v>0</v>
      </c>
      <c r="L548" s="1119"/>
      <c r="M548" s="1119">
        <v>0</v>
      </c>
      <c r="N548" s="955"/>
    </row>
    <row r="549" spans="1:14" ht="16.5" customHeight="1" x14ac:dyDescent="0.25">
      <c r="A549" s="139"/>
      <c r="B549" s="139"/>
      <c r="C549" s="62"/>
      <c r="D549" s="1083"/>
      <c r="E549" s="1083"/>
      <c r="F549" s="1174" t="s">
        <v>45</v>
      </c>
      <c r="G549" s="973"/>
      <c r="H549" s="955"/>
      <c r="I549" s="1039"/>
      <c r="J549" s="1039"/>
      <c r="K549" s="1119">
        <v>0</v>
      </c>
      <c r="L549" s="1119"/>
      <c r="M549" s="1119">
        <v>0</v>
      </c>
      <c r="N549" s="955"/>
    </row>
    <row r="550" spans="1:14" ht="16.5" customHeight="1" x14ac:dyDescent="0.25">
      <c r="A550" s="139"/>
      <c r="B550" s="139"/>
      <c r="C550" s="62"/>
      <c r="D550" s="1083"/>
      <c r="E550" s="1083"/>
      <c r="F550" s="1174" t="s">
        <v>627</v>
      </c>
      <c r="G550" s="973"/>
      <c r="H550" s="955"/>
      <c r="I550" s="1023"/>
      <c r="J550" s="1023"/>
      <c r="K550" s="1123">
        <f>SUM(K545:K549)</f>
        <v>0</v>
      </c>
      <c r="L550" s="1122"/>
      <c r="M550" s="1123">
        <f>SUM(M545:M549)</f>
        <v>0</v>
      </c>
      <c r="N550" s="955"/>
    </row>
    <row r="551" spans="1:14" ht="6.75" customHeight="1" x14ac:dyDescent="0.25">
      <c r="A551" s="666"/>
      <c r="B551" s="666"/>
      <c r="C551" s="62"/>
      <c r="D551" s="1083"/>
      <c r="E551" s="1083"/>
      <c r="F551" s="1174"/>
      <c r="G551" s="973"/>
      <c r="H551" s="955"/>
      <c r="I551" s="1023"/>
      <c r="J551" s="1023"/>
      <c r="K551" s="1122"/>
      <c r="L551" s="1122"/>
      <c r="M551" s="1122"/>
      <c r="N551" s="955"/>
    </row>
    <row r="552" spans="1:14" ht="16.5" customHeight="1" x14ac:dyDescent="0.25">
      <c r="A552" s="139"/>
      <c r="B552" s="139"/>
      <c r="C552" s="62"/>
      <c r="D552" s="1083"/>
      <c r="E552" s="1083"/>
      <c r="F552" s="1172" t="s">
        <v>636</v>
      </c>
      <c r="G552" s="973"/>
      <c r="H552" s="955"/>
      <c r="I552" s="995"/>
      <c r="J552" s="995"/>
      <c r="K552" s="1118"/>
      <c r="L552" s="1153"/>
      <c r="M552" s="1118"/>
      <c r="N552" s="955"/>
    </row>
    <row r="553" spans="1:14" ht="16.5" customHeight="1" x14ac:dyDescent="0.25">
      <c r="A553" s="139"/>
      <c r="B553" s="139"/>
      <c r="C553" s="62"/>
      <c r="D553" s="1083"/>
      <c r="E553" s="1083"/>
      <c r="F553" s="1174" t="s">
        <v>46</v>
      </c>
      <c r="G553" s="973"/>
      <c r="H553" s="955"/>
      <c r="I553" s="1023"/>
      <c r="J553" s="1023"/>
      <c r="K553" s="1118">
        <v>0</v>
      </c>
      <c r="L553" s="1153"/>
      <c r="M553" s="1118">
        <v>0</v>
      </c>
      <c r="N553" s="955"/>
    </row>
    <row r="554" spans="1:14" ht="16.5" customHeight="1" x14ac:dyDescent="0.25">
      <c r="A554" s="139"/>
      <c r="B554" s="139"/>
      <c r="C554" s="62"/>
      <c r="D554" s="1083"/>
      <c r="E554" s="1083"/>
      <c r="F554" s="1174" t="s">
        <v>47</v>
      </c>
      <c r="G554" s="973"/>
      <c r="H554" s="955"/>
      <c r="I554" s="1023"/>
      <c r="J554" s="1023"/>
      <c r="K554" s="1118">
        <v>0</v>
      </c>
      <c r="L554" s="1153"/>
      <c r="M554" s="1118">
        <v>0</v>
      </c>
      <c r="N554" s="955"/>
    </row>
    <row r="555" spans="1:14" ht="14.4" x14ac:dyDescent="0.25">
      <c r="A555" s="139"/>
      <c r="B555" s="139"/>
      <c r="C555" s="62"/>
      <c r="D555" s="1083"/>
      <c r="E555" s="1083"/>
      <c r="F555" s="986"/>
      <c r="G555" s="973"/>
      <c r="H555" s="955"/>
      <c r="I555" s="1023"/>
      <c r="J555" s="1023"/>
      <c r="K555" s="1123">
        <f>SUM(K552:K554)</f>
        <v>0</v>
      </c>
      <c r="L555" s="1122"/>
      <c r="M555" s="1123">
        <f>SUM(M552:M554)</f>
        <v>0</v>
      </c>
      <c r="N555" s="955"/>
    </row>
    <row r="556" spans="1:14" ht="14.25" customHeight="1" x14ac:dyDescent="0.25">
      <c r="A556" s="139">
        <v>128</v>
      </c>
      <c r="B556" s="139" t="s">
        <v>221</v>
      </c>
      <c r="C556" s="62"/>
      <c r="D556" s="1083"/>
      <c r="E556" s="1083"/>
      <c r="F556" s="1172" t="s">
        <v>48</v>
      </c>
      <c r="G556" s="973"/>
      <c r="H556" s="955"/>
      <c r="I556" s="995"/>
      <c r="J556" s="995"/>
      <c r="K556" s="1118"/>
      <c r="L556" s="1153"/>
      <c r="M556" s="1118"/>
      <c r="N556" s="955"/>
    </row>
    <row r="557" spans="1:14" ht="16.5" customHeight="1" x14ac:dyDescent="0.25">
      <c r="A557" s="139"/>
      <c r="B557" s="139"/>
      <c r="C557" s="62"/>
      <c r="D557" s="1083"/>
      <c r="E557" s="1083"/>
      <c r="F557" s="986" t="s">
        <v>339</v>
      </c>
      <c r="G557" s="973"/>
      <c r="H557" s="955"/>
      <c r="I557" s="1023"/>
      <c r="J557" s="1023"/>
      <c r="K557" s="1143">
        <v>0</v>
      </c>
      <c r="L557" s="1122"/>
      <c r="M557" s="1143">
        <v>0</v>
      </c>
      <c r="N557" s="955"/>
    </row>
    <row r="558" spans="1:14" ht="8.25" customHeight="1" x14ac:dyDescent="0.25">
      <c r="A558" s="139"/>
      <c r="B558" s="139"/>
      <c r="C558" s="62"/>
      <c r="D558" s="1083"/>
      <c r="E558" s="1083"/>
      <c r="F558" s="1023"/>
      <c r="G558" s="973"/>
      <c r="H558" s="1023"/>
      <c r="I558" s="1023"/>
      <c r="J558" s="1023"/>
      <c r="K558" s="1119"/>
      <c r="L558" s="1119"/>
      <c r="M558" s="1119"/>
      <c r="N558" s="955"/>
    </row>
    <row r="559" spans="1:14" ht="16.5" customHeight="1" x14ac:dyDescent="0.3">
      <c r="A559" s="173"/>
      <c r="B559" s="173"/>
      <c r="C559" s="796"/>
      <c r="D559" s="1073"/>
      <c r="E559" s="1073"/>
      <c r="F559" s="1175" t="s">
        <v>425</v>
      </c>
      <c r="G559" s="1073"/>
      <c r="H559" s="955"/>
      <c r="I559" s="955"/>
      <c r="J559" s="955"/>
      <c r="K559" s="1118"/>
      <c r="L559" s="1153"/>
      <c r="M559" s="1118"/>
      <c r="N559" s="955"/>
    </row>
    <row r="560" spans="1:14" ht="15" thickBot="1" x14ac:dyDescent="0.3">
      <c r="A560" s="669"/>
      <c r="B560" s="669"/>
      <c r="C560" s="62"/>
      <c r="D560" s="956"/>
      <c r="E560" s="956"/>
      <c r="F560" s="956"/>
      <c r="G560" s="963"/>
      <c r="H560" s="1023"/>
      <c r="I560" s="1023"/>
      <c r="J560" s="1023"/>
      <c r="K560" s="1119"/>
      <c r="L560" s="1119"/>
      <c r="M560" s="1119"/>
      <c r="N560" s="955"/>
    </row>
    <row r="561" spans="1:27" ht="16.5" customHeight="1" x14ac:dyDescent="0.3">
      <c r="A561" s="173"/>
      <c r="B561" s="173"/>
      <c r="C561" s="796"/>
      <c r="D561" s="1073"/>
      <c r="E561" s="1073"/>
      <c r="F561" s="1067" t="s">
        <v>1133</v>
      </c>
      <c r="G561" s="1058"/>
      <c r="H561" s="1058"/>
      <c r="I561" s="1058"/>
      <c r="J561" s="1058"/>
      <c r="K561" s="1058"/>
      <c r="L561" s="1058"/>
      <c r="M561" s="1059"/>
      <c r="N561" s="955"/>
    </row>
    <row r="562" spans="1:27" ht="9.9" customHeight="1" x14ac:dyDescent="0.3">
      <c r="A562" s="173"/>
      <c r="B562" s="173"/>
      <c r="C562" s="796"/>
      <c r="D562" s="1073"/>
      <c r="E562" s="1073"/>
      <c r="F562" s="1028"/>
      <c r="G562" s="1060"/>
      <c r="H562" s="1060"/>
      <c r="I562" s="1060"/>
      <c r="J562" s="1060"/>
      <c r="K562" s="1060"/>
      <c r="L562" s="1060"/>
      <c r="M562" s="1061"/>
      <c r="N562" s="955"/>
    </row>
    <row r="563" spans="1:27" ht="16.5" customHeight="1" x14ac:dyDescent="0.3">
      <c r="A563" s="256">
        <v>128</v>
      </c>
      <c r="B563" s="256">
        <v>37</v>
      </c>
      <c r="C563" s="796"/>
      <c r="D563" s="1073"/>
      <c r="E563" s="1073"/>
      <c r="F563" s="1028" t="s">
        <v>565</v>
      </c>
      <c r="G563" s="1060"/>
      <c r="H563" s="1060"/>
      <c r="I563" s="1060"/>
      <c r="J563" s="1060"/>
      <c r="K563" s="1060"/>
      <c r="L563" s="1060"/>
      <c r="M563" s="1061"/>
      <c r="N563" s="955"/>
    </row>
    <row r="564" spans="1:27" ht="63.75" customHeight="1" thickBot="1" x14ac:dyDescent="0.35">
      <c r="A564" s="256">
        <v>101</v>
      </c>
      <c r="B564" s="256" t="s">
        <v>806</v>
      </c>
      <c r="C564" s="796"/>
      <c r="D564" s="1073"/>
      <c r="E564" s="1073"/>
      <c r="F564" s="2141" t="s">
        <v>1776</v>
      </c>
      <c r="G564" s="2142"/>
      <c r="H564" s="2142"/>
      <c r="I564" s="2142"/>
      <c r="J564" s="2142"/>
      <c r="K564" s="2142"/>
      <c r="L564" s="2142"/>
      <c r="M564" s="2143"/>
      <c r="N564" s="955"/>
      <c r="O564" s="355"/>
    </row>
    <row r="565" spans="1:27" ht="14.4" x14ac:dyDescent="0.3">
      <c r="A565" s="173"/>
      <c r="B565" s="173"/>
      <c r="C565" s="796"/>
      <c r="D565" s="1073"/>
      <c r="E565" s="1073"/>
      <c r="F565" s="952"/>
      <c r="G565" s="1073"/>
      <c r="H565" s="995"/>
      <c r="I565" s="955"/>
      <c r="J565" s="955"/>
      <c r="K565" s="1118"/>
      <c r="L565" s="1153"/>
      <c r="M565" s="1118"/>
      <c r="N565" s="955"/>
    </row>
    <row r="566" spans="1:27" ht="16.5" customHeight="1" x14ac:dyDescent="0.3">
      <c r="A566" s="173">
        <v>7</v>
      </c>
      <c r="B566" s="173" t="s">
        <v>810</v>
      </c>
      <c r="C566" s="796"/>
      <c r="D566" s="961" t="s">
        <v>286</v>
      </c>
      <c r="E566" s="961">
        <f>E522+0.1</f>
        <v>5.1999999999999993</v>
      </c>
      <c r="F566" s="960" t="s">
        <v>544</v>
      </c>
      <c r="G566" s="963"/>
      <c r="H566" s="955"/>
      <c r="I566" s="955"/>
      <c r="J566" s="955"/>
      <c r="K566" s="1176"/>
      <c r="L566" s="1177"/>
      <c r="M566" s="1176"/>
      <c r="N566" s="955"/>
    </row>
    <row r="567" spans="1:27" ht="16.5" customHeight="1" x14ac:dyDescent="0.3">
      <c r="A567" s="173"/>
      <c r="B567" s="173"/>
      <c r="C567" s="796"/>
      <c r="D567" s="1073"/>
      <c r="E567" s="1073"/>
      <c r="F567" s="1014" t="s">
        <v>1411</v>
      </c>
      <c r="G567" s="963"/>
      <c r="H567" s="955"/>
      <c r="I567" s="955"/>
      <c r="J567" s="955"/>
      <c r="K567" s="1119">
        <f>M570</f>
        <v>48090</v>
      </c>
      <c r="L567" s="1119"/>
      <c r="M567" s="1119">
        <f>46350+900</f>
        <v>47250</v>
      </c>
      <c r="N567" s="955"/>
      <c r="O567" s="246"/>
      <c r="Q567" s="230"/>
      <c r="R567" s="230"/>
      <c r="S567" s="230"/>
      <c r="T567" s="230"/>
      <c r="U567" s="230"/>
      <c r="V567" s="230"/>
      <c r="W567" s="230"/>
      <c r="X567" s="230"/>
      <c r="Y567" s="230"/>
      <c r="Z567" s="230"/>
      <c r="AA567" s="230"/>
    </row>
    <row r="568" spans="1:27" ht="16.5" customHeight="1" x14ac:dyDescent="0.3">
      <c r="A568" s="173"/>
      <c r="B568" s="173"/>
      <c r="C568" s="796"/>
      <c r="D568" s="1073"/>
      <c r="E568" s="1073"/>
      <c r="F568" s="1178" t="s">
        <v>527</v>
      </c>
      <c r="G568" s="1179"/>
      <c r="H568" s="1180"/>
      <c r="I568" s="955"/>
      <c r="J568" s="955"/>
      <c r="K568" s="1119">
        <v>0</v>
      </c>
      <c r="L568" s="1119">
        <v>0</v>
      </c>
      <c r="M568" s="1119">
        <v>0</v>
      </c>
      <c r="N568" s="955"/>
      <c r="P568" s="599" t="s">
        <v>1721</v>
      </c>
      <c r="Q568" s="230"/>
      <c r="R568" s="230"/>
      <c r="S568" s="230"/>
      <c r="T568" s="230"/>
      <c r="U568" s="230"/>
      <c r="V568" s="230"/>
      <c r="W568" s="230"/>
      <c r="X568" s="230"/>
      <c r="Y568" s="230"/>
      <c r="Z568" s="230"/>
      <c r="AA568" s="230"/>
    </row>
    <row r="569" spans="1:27" ht="16.5" customHeight="1" x14ac:dyDescent="0.3">
      <c r="A569" s="173"/>
      <c r="B569" s="173"/>
      <c r="C569" s="796"/>
      <c r="D569" s="1073"/>
      <c r="E569" s="1073"/>
      <c r="F569" s="1014" t="s">
        <v>1412</v>
      </c>
      <c r="G569" s="963"/>
      <c r="H569" s="955"/>
      <c r="I569" s="955"/>
      <c r="J569" s="955"/>
      <c r="K569" s="1119">
        <v>110</v>
      </c>
      <c r="L569" s="1119"/>
      <c r="M569" s="1119">
        <v>840</v>
      </c>
      <c r="N569" s="1181"/>
      <c r="O569" s="246"/>
      <c r="Q569" s="230"/>
      <c r="R569" s="230"/>
      <c r="S569" s="230"/>
      <c r="T569" s="230"/>
      <c r="U569" s="230"/>
      <c r="V569" s="230"/>
      <c r="W569" s="230"/>
      <c r="X569" s="230"/>
      <c r="Y569" s="230"/>
      <c r="Z569" s="230"/>
      <c r="AA569" s="230"/>
    </row>
    <row r="570" spans="1:27" ht="16.5" customHeight="1" thickBot="1" x14ac:dyDescent="0.35">
      <c r="A570" s="173"/>
      <c r="B570" s="173"/>
      <c r="C570" s="796"/>
      <c r="D570" s="1073"/>
      <c r="E570" s="1073"/>
      <c r="F570" s="1167" t="s">
        <v>194</v>
      </c>
      <c r="G570" s="963"/>
      <c r="H570" s="955"/>
      <c r="I570" s="955"/>
      <c r="J570" s="955"/>
      <c r="K570" s="1182">
        <f>SUM(K567:K569)</f>
        <v>48200</v>
      </c>
      <c r="L570" s="957"/>
      <c r="M570" s="1182">
        <f>SUM(M567:M569)</f>
        <v>48090</v>
      </c>
      <c r="N570" s="955"/>
      <c r="O570" s="246"/>
      <c r="Q570" s="230"/>
      <c r="R570" s="230"/>
      <c r="S570" s="230"/>
      <c r="T570" s="230"/>
      <c r="U570" s="230"/>
      <c r="V570" s="230"/>
      <c r="W570" s="230"/>
      <c r="X570" s="230"/>
      <c r="Y570" s="230"/>
      <c r="Z570" s="230"/>
      <c r="AA570" s="230"/>
    </row>
    <row r="571" spans="1:27" ht="14.4" x14ac:dyDescent="0.3">
      <c r="A571" s="173"/>
      <c r="B571" s="173"/>
      <c r="C571" s="796"/>
      <c r="D571" s="1073"/>
      <c r="E571" s="1073"/>
      <c r="F571" s="1183" t="s">
        <v>528</v>
      </c>
      <c r="G571" s="963"/>
      <c r="H571" s="955"/>
      <c r="I571" s="955"/>
      <c r="J571" s="955"/>
      <c r="K571" s="1122"/>
      <c r="L571" s="1122"/>
      <c r="M571" s="1122"/>
      <c r="N571" s="955"/>
    </row>
    <row r="572" spans="1:27" ht="14.4" x14ac:dyDescent="0.3">
      <c r="A572" s="173"/>
      <c r="B572" s="173"/>
      <c r="C572" s="796"/>
      <c r="D572" s="1073"/>
      <c r="E572" s="1073"/>
      <c r="F572" s="1184" t="str">
        <f>"Council has derived returns from the water corporation as disclosed at note "&amp;E216&amp;"."</f>
        <v>Council has derived returns from the water corporation as disclosed at note 2.9.</v>
      </c>
      <c r="G572" s="1184"/>
      <c r="H572" s="1184"/>
      <c r="I572" s="1184"/>
      <c r="J572" s="1184"/>
      <c r="K572" s="1184"/>
      <c r="L572" s="1184"/>
      <c r="M572" s="1184"/>
      <c r="N572" s="1014"/>
      <c r="O572" s="48"/>
      <c r="P572" s="48"/>
      <c r="Q572" s="48"/>
    </row>
    <row r="573" spans="1:27" ht="6" customHeight="1" thickBot="1" x14ac:dyDescent="0.35">
      <c r="A573" s="173"/>
      <c r="B573" s="173"/>
      <c r="C573" s="796"/>
      <c r="D573" s="1073"/>
      <c r="E573" s="1073"/>
      <c r="F573" s="952"/>
      <c r="G573" s="1073"/>
      <c r="H573" s="1185"/>
      <c r="I573" s="973"/>
      <c r="J573" s="973"/>
      <c r="K573" s="973"/>
      <c r="L573" s="973"/>
      <c r="M573" s="973"/>
      <c r="N573" s="973"/>
      <c r="O573" s="541"/>
      <c r="P573" s="359"/>
      <c r="Q573" s="401"/>
    </row>
    <row r="574" spans="1:27" ht="14.4" x14ac:dyDescent="0.3">
      <c r="A574" s="173"/>
      <c r="B574" s="173"/>
      <c r="C574" s="796"/>
      <c r="D574" s="1073"/>
      <c r="E574" s="1073"/>
      <c r="F574" s="1067" t="s">
        <v>1133</v>
      </c>
      <c r="G574" s="1068"/>
      <c r="H574" s="1068"/>
      <c r="I574" s="1068"/>
      <c r="J574" s="1068"/>
      <c r="K574" s="1068"/>
      <c r="L574" s="1068"/>
      <c r="M574" s="1069"/>
      <c r="N574" s="973"/>
      <c r="O574" s="541"/>
      <c r="P574" s="359"/>
      <c r="Q574" s="401"/>
    </row>
    <row r="575" spans="1:27" ht="5.25" customHeight="1" x14ac:dyDescent="0.3">
      <c r="A575" s="173"/>
      <c r="B575" s="173"/>
      <c r="C575" s="796"/>
      <c r="D575" s="1073"/>
      <c r="E575" s="1073"/>
      <c r="F575" s="1028"/>
      <c r="G575" s="1070"/>
      <c r="H575" s="1070"/>
      <c r="I575" s="1070"/>
      <c r="J575" s="1070"/>
      <c r="K575" s="1070"/>
      <c r="L575" s="1070"/>
      <c r="M575" s="1071"/>
      <c r="N575" s="973"/>
      <c r="O575" s="541"/>
      <c r="P575" s="359"/>
      <c r="Q575" s="401"/>
    </row>
    <row r="576" spans="1:27" ht="14.4" x14ac:dyDescent="0.3">
      <c r="A576" s="626">
        <v>101</v>
      </c>
      <c r="B576" s="626" t="s">
        <v>806</v>
      </c>
      <c r="C576" s="796"/>
      <c r="D576" s="1073"/>
      <c r="E576" s="1073"/>
      <c r="F576" s="1028" t="s">
        <v>1376</v>
      </c>
      <c r="G576" s="1070"/>
      <c r="H576" s="1070"/>
      <c r="I576" s="1070"/>
      <c r="J576" s="1070"/>
      <c r="K576" s="1070"/>
      <c r="L576" s="1070"/>
      <c r="M576" s="1071"/>
      <c r="N576" s="973"/>
      <c r="O576" s="541"/>
      <c r="P576" s="359"/>
      <c r="Q576" s="401"/>
    </row>
    <row r="577" spans="1:20" ht="118.2" customHeight="1" thickBot="1" x14ac:dyDescent="0.35">
      <c r="A577" s="173"/>
      <c r="B577" s="173"/>
      <c r="C577" s="796"/>
      <c r="D577" s="1073"/>
      <c r="E577" s="1073"/>
      <c r="F577" s="2135" t="s">
        <v>1864</v>
      </c>
      <c r="G577" s="2136"/>
      <c r="H577" s="2136"/>
      <c r="I577" s="2136"/>
      <c r="J577" s="2136"/>
      <c r="K577" s="2136"/>
      <c r="L577" s="2136"/>
      <c r="M577" s="2137"/>
      <c r="N577" s="955"/>
      <c r="O577" s="355"/>
      <c r="P577" s="359"/>
      <c r="Q577" s="591"/>
    </row>
    <row r="578" spans="1:20" ht="15" x14ac:dyDescent="0.3">
      <c r="A578" s="144"/>
      <c r="B578" s="144"/>
      <c r="C578" s="136"/>
      <c r="D578" s="1073"/>
      <c r="E578" s="1073"/>
      <c r="F578" s="955"/>
      <c r="G578" s="963"/>
      <c r="H578" s="966"/>
      <c r="I578" s="955"/>
      <c r="J578" s="955"/>
      <c r="K578" s="1119"/>
      <c r="L578" s="1119"/>
      <c r="M578" s="1119"/>
      <c r="N578" s="955"/>
      <c r="R578" s="1"/>
      <c r="S578" s="1"/>
      <c r="T578" s="1"/>
    </row>
    <row r="591" spans="1:20" ht="16.5" customHeight="1" x14ac:dyDescent="0.25">
      <c r="K591" s="131"/>
      <c r="L591" s="132"/>
      <c r="M591" s="131"/>
      <c r="P591" s="107"/>
    </row>
    <row r="592" spans="1:20" ht="3" customHeight="1" x14ac:dyDescent="0.25">
      <c r="F592" s="246"/>
      <c r="G592" s="28"/>
      <c r="K592" s="131"/>
      <c r="L592" s="132"/>
      <c r="M592" s="131"/>
      <c r="R592" s="1"/>
      <c r="S592" s="1"/>
    </row>
    <row r="593" spans="7:19" ht="16.5" customHeight="1" x14ac:dyDescent="0.25">
      <c r="K593" s="131"/>
      <c r="L593" s="132"/>
      <c r="M593" s="131"/>
      <c r="R593" s="1"/>
      <c r="S593" s="1"/>
    </row>
    <row r="594" spans="7:19" ht="16.5" customHeight="1" x14ac:dyDescent="0.25">
      <c r="K594" s="131"/>
      <c r="L594" s="132"/>
      <c r="M594" s="131"/>
      <c r="R594" s="1"/>
      <c r="S594" s="1"/>
    </row>
    <row r="595" spans="7:19" ht="16.5" customHeight="1" x14ac:dyDescent="0.25">
      <c r="K595" s="131"/>
      <c r="L595" s="132"/>
      <c r="M595" s="131"/>
      <c r="R595" s="1"/>
      <c r="S595" s="1"/>
    </row>
    <row r="596" spans="7:19" ht="16.5" customHeight="1" x14ac:dyDescent="0.25">
      <c r="K596" s="131"/>
      <c r="L596" s="132"/>
      <c r="M596" s="131"/>
      <c r="R596" s="1"/>
      <c r="S596" s="1"/>
    </row>
    <row r="597" spans="7:19" ht="16.5" customHeight="1" x14ac:dyDescent="0.25">
      <c r="K597" s="131"/>
      <c r="L597" s="132"/>
      <c r="M597" s="131"/>
      <c r="R597" s="1"/>
      <c r="S597" s="1"/>
    </row>
    <row r="598" spans="7:19" ht="16.5" customHeight="1" x14ac:dyDescent="0.25">
      <c r="K598" s="131"/>
      <c r="L598" s="132"/>
      <c r="M598" s="131"/>
      <c r="R598" s="1"/>
      <c r="S598" s="1"/>
    </row>
    <row r="599" spans="7:19" ht="16.5" customHeight="1" x14ac:dyDescent="0.25">
      <c r="K599" s="131"/>
      <c r="L599" s="132"/>
      <c r="M599" s="131"/>
      <c r="R599" s="1"/>
      <c r="S599" s="1"/>
    </row>
    <row r="600" spans="7:19" ht="16.5" customHeight="1" x14ac:dyDescent="0.25">
      <c r="G600" s="1"/>
      <c r="L600" s="132"/>
      <c r="M600" s="131"/>
      <c r="R600" s="1"/>
      <c r="S600" s="1"/>
    </row>
    <row r="601" spans="7:19" ht="16.5" customHeight="1" x14ac:dyDescent="0.25">
      <c r="G601" s="1"/>
      <c r="L601" s="132"/>
      <c r="M601" s="131"/>
      <c r="R601" s="1"/>
      <c r="S601" s="1"/>
    </row>
    <row r="602" spans="7:19" ht="16.5" customHeight="1" x14ac:dyDescent="0.25">
      <c r="G602" s="1"/>
      <c r="L602" s="132"/>
      <c r="M602" s="131"/>
    </row>
    <row r="603" spans="7:19" ht="16.5" customHeight="1" x14ac:dyDescent="0.25">
      <c r="G603" s="1"/>
      <c r="L603" s="132"/>
      <c r="M603" s="131"/>
    </row>
    <row r="604" spans="7:19" ht="16.5" customHeight="1" x14ac:dyDescent="0.25">
      <c r="G604" s="1"/>
      <c r="L604" s="132"/>
      <c r="M604" s="131"/>
    </row>
    <row r="605" spans="7:19" ht="16.5" customHeight="1" x14ac:dyDescent="0.25">
      <c r="G605" s="205"/>
      <c r="L605" s="132"/>
      <c r="M605" s="131"/>
    </row>
    <row r="606" spans="7:19" ht="16.5" customHeight="1" x14ac:dyDescent="0.25">
      <c r="G606" s="1"/>
      <c r="L606" s="132"/>
      <c r="M606" s="131"/>
    </row>
    <row r="607" spans="7:19" ht="16.5" customHeight="1" x14ac:dyDescent="0.25">
      <c r="G607" s="1"/>
      <c r="L607" s="132"/>
      <c r="M607" s="131"/>
    </row>
    <row r="608" spans="7:19" ht="16.5" customHeight="1" x14ac:dyDescent="0.25">
      <c r="G608" s="1"/>
      <c r="L608" s="132"/>
      <c r="M608" s="131"/>
    </row>
    <row r="609" spans="7:13" ht="16.5" customHeight="1" x14ac:dyDescent="0.25">
      <c r="G609" s="1"/>
      <c r="L609" s="132"/>
      <c r="M609" s="131"/>
    </row>
    <row r="610" spans="7:13" ht="16.5" customHeight="1" x14ac:dyDescent="0.25">
      <c r="G610" s="1"/>
      <c r="L610" s="132"/>
      <c r="M610" s="131"/>
    </row>
    <row r="611" spans="7:13" ht="16.5" customHeight="1" x14ac:dyDescent="0.25">
      <c r="G611" s="1"/>
      <c r="L611" s="132"/>
      <c r="M611" s="131"/>
    </row>
    <row r="612" spans="7:13" ht="16.5" customHeight="1" x14ac:dyDescent="0.25">
      <c r="G612" s="1"/>
      <c r="L612" s="132"/>
      <c r="M612" s="131"/>
    </row>
    <row r="613" spans="7:13" ht="16.5" customHeight="1" x14ac:dyDescent="0.25">
      <c r="G613" s="1"/>
      <c r="L613" s="132"/>
      <c r="M613" s="131"/>
    </row>
    <row r="614" spans="7:13" ht="16.5" customHeight="1" x14ac:dyDescent="0.25">
      <c r="G614" s="1"/>
      <c r="L614" s="132"/>
      <c r="M614" s="131"/>
    </row>
    <row r="615" spans="7:13" ht="16.5" customHeight="1" x14ac:dyDescent="0.25">
      <c r="G615" s="1"/>
      <c r="L615" s="132"/>
      <c r="M615" s="131"/>
    </row>
    <row r="616" spans="7:13" ht="16.5" customHeight="1" x14ac:dyDescent="0.25">
      <c r="G616" s="1"/>
      <c r="L616" s="132"/>
      <c r="M616" s="131"/>
    </row>
    <row r="617" spans="7:13" ht="16.5" customHeight="1" x14ac:dyDescent="0.25">
      <c r="G617" s="1"/>
      <c r="L617" s="132"/>
      <c r="M617" s="131"/>
    </row>
    <row r="618" spans="7:13" ht="16.5" customHeight="1" x14ac:dyDescent="0.25">
      <c r="K618" s="131"/>
      <c r="L618" s="132"/>
      <c r="M618" s="131"/>
    </row>
    <row r="619" spans="7:13" ht="42.75" customHeight="1" x14ac:dyDescent="0.25">
      <c r="K619" s="131"/>
      <c r="L619" s="132"/>
      <c r="M619" s="131"/>
    </row>
    <row r="620" spans="7:13" ht="16.5" customHeight="1" x14ac:dyDescent="0.25">
      <c r="K620" s="131"/>
      <c r="L620" s="132"/>
      <c r="M620" s="131"/>
    </row>
    <row r="621" spans="7:13" ht="16.5" customHeight="1" x14ac:dyDescent="0.25">
      <c r="K621" s="131"/>
      <c r="L621" s="132"/>
      <c r="M621" s="131"/>
    </row>
    <row r="622" spans="7:13" ht="16.5" customHeight="1" x14ac:dyDescent="0.25">
      <c r="K622" s="131"/>
      <c r="L622" s="132"/>
      <c r="M622" s="131"/>
    </row>
    <row r="623" spans="7:13" ht="16.5" customHeight="1" x14ac:dyDescent="0.25">
      <c r="K623" s="131"/>
      <c r="L623" s="132"/>
      <c r="M623" s="131"/>
    </row>
    <row r="624" spans="7:13" ht="16.5" customHeight="1" x14ac:dyDescent="0.25">
      <c r="K624" s="131"/>
      <c r="L624" s="132"/>
      <c r="M624" s="131"/>
    </row>
    <row r="625" spans="11:20" ht="16.5" customHeight="1" x14ac:dyDescent="0.25">
      <c r="K625" s="131"/>
      <c r="L625" s="132"/>
      <c r="M625" s="131"/>
    </row>
    <row r="626" spans="11:20" ht="16.5" customHeight="1" x14ac:dyDescent="0.25">
      <c r="K626" s="131"/>
      <c r="L626" s="132"/>
      <c r="M626" s="131"/>
    </row>
    <row r="627" spans="11:20" ht="16.5" customHeight="1" x14ac:dyDescent="0.25">
      <c r="K627" s="131"/>
      <c r="L627" s="132"/>
      <c r="M627" s="131"/>
    </row>
    <row r="628" spans="11:20" ht="16.5" customHeight="1" x14ac:dyDescent="0.25">
      <c r="K628" s="131"/>
      <c r="L628" s="132"/>
      <c r="M628" s="131"/>
    </row>
    <row r="629" spans="11:20" ht="16.5" customHeight="1" x14ac:dyDescent="0.25">
      <c r="K629" s="131"/>
      <c r="L629" s="132"/>
      <c r="M629" s="131"/>
    </row>
    <row r="630" spans="11:20" ht="16.5" customHeight="1" x14ac:dyDescent="0.25">
      <c r="K630" s="131"/>
      <c r="L630" s="132"/>
      <c r="M630" s="131"/>
    </row>
    <row r="631" spans="11:20" ht="16.5" customHeight="1" x14ac:dyDescent="0.25">
      <c r="K631" s="131"/>
      <c r="L631" s="132"/>
      <c r="M631" s="131"/>
    </row>
    <row r="632" spans="11:20" ht="16.5" customHeight="1" x14ac:dyDescent="0.25">
      <c r="K632" s="131"/>
      <c r="L632" s="132"/>
      <c r="M632" s="131"/>
      <c r="P632" s="107"/>
      <c r="Q632" s="112"/>
      <c r="R632" s="108"/>
      <c r="S632" s="108"/>
      <c r="T632" s="108"/>
    </row>
    <row r="633" spans="11:20" ht="16.5" customHeight="1" x14ac:dyDescent="0.25">
      <c r="K633" s="131"/>
      <c r="L633" s="132"/>
      <c r="M633" s="131"/>
      <c r="P633" s="107"/>
    </row>
    <row r="634" spans="11:20" ht="16.5" customHeight="1" x14ac:dyDescent="0.25">
      <c r="K634" s="131"/>
      <c r="L634" s="132"/>
      <c r="M634" s="131"/>
      <c r="P634" s="107"/>
    </row>
    <row r="635" spans="11:20" ht="16.5" customHeight="1" x14ac:dyDescent="0.25">
      <c r="K635" s="131"/>
      <c r="L635" s="132"/>
      <c r="M635" s="131"/>
      <c r="P635" s="107"/>
    </row>
    <row r="636" spans="11:20" ht="16.5" customHeight="1" x14ac:dyDescent="0.25">
      <c r="K636" s="131"/>
      <c r="L636" s="132"/>
      <c r="M636" s="131"/>
      <c r="P636" s="107"/>
    </row>
    <row r="637" spans="11:20" ht="16.5" customHeight="1" x14ac:dyDescent="0.25">
      <c r="K637" s="131"/>
      <c r="L637" s="132"/>
      <c r="M637" s="131"/>
      <c r="P637" s="107"/>
    </row>
    <row r="638" spans="11:20" ht="16.5" customHeight="1" x14ac:dyDescent="0.25">
      <c r="K638" s="131"/>
      <c r="L638" s="132"/>
      <c r="M638" s="131"/>
      <c r="P638" s="107"/>
    </row>
    <row r="639" spans="11:20" ht="16.5" customHeight="1" x14ac:dyDescent="0.25">
      <c r="K639" s="131"/>
      <c r="L639" s="132"/>
      <c r="M639" s="131"/>
      <c r="P639" s="107"/>
    </row>
    <row r="640" spans="11:20" ht="16.5" customHeight="1" x14ac:dyDescent="0.25">
      <c r="K640" s="131"/>
      <c r="L640" s="132"/>
      <c r="M640" s="131"/>
      <c r="P640" s="107"/>
    </row>
    <row r="641" spans="11:20" ht="16.5" customHeight="1" x14ac:dyDescent="0.25">
      <c r="K641" s="131"/>
      <c r="L641" s="132"/>
      <c r="M641" s="131"/>
      <c r="P641" s="107"/>
    </row>
    <row r="642" spans="11:20" ht="16.5" customHeight="1" x14ac:dyDescent="0.25">
      <c r="K642" s="131"/>
      <c r="L642" s="132"/>
      <c r="M642" s="131"/>
      <c r="P642" s="107"/>
      <c r="Q642" s="112"/>
      <c r="R642" s="109"/>
      <c r="S642" s="109"/>
      <c r="T642" s="109"/>
    </row>
    <row r="643" spans="11:20" ht="16.5" customHeight="1" x14ac:dyDescent="0.25">
      <c r="K643" s="131"/>
      <c r="L643" s="132"/>
      <c r="M643" s="131"/>
      <c r="P643" s="107"/>
      <c r="Q643" s="114"/>
      <c r="R643" s="108"/>
      <c r="S643" s="108"/>
      <c r="T643" s="108"/>
    </row>
    <row r="644" spans="11:20" ht="16.5" customHeight="1" x14ac:dyDescent="0.25">
      <c r="K644" s="131"/>
      <c r="L644" s="132"/>
      <c r="M644" s="131"/>
    </row>
    <row r="645" spans="11:20" ht="16.5" customHeight="1" x14ac:dyDescent="0.25">
      <c r="K645" s="131"/>
      <c r="L645" s="132"/>
      <c r="M645" s="131"/>
    </row>
    <row r="646" spans="11:20" ht="16.5" customHeight="1" x14ac:dyDescent="0.25">
      <c r="K646" s="131"/>
      <c r="L646" s="132"/>
      <c r="M646" s="131"/>
    </row>
    <row r="647" spans="11:20" ht="16.5" customHeight="1" x14ac:dyDescent="0.25">
      <c r="K647" s="131"/>
      <c r="L647" s="132"/>
      <c r="M647" s="131"/>
    </row>
    <row r="648" spans="11:20" ht="16.5" customHeight="1" x14ac:dyDescent="0.25">
      <c r="K648" s="131"/>
      <c r="L648" s="132"/>
      <c r="M648" s="131"/>
    </row>
    <row r="649" spans="11:20" ht="16.5" customHeight="1" x14ac:dyDescent="0.25">
      <c r="K649" s="131"/>
      <c r="L649" s="132"/>
      <c r="M649" s="131"/>
    </row>
    <row r="650" spans="11:20" ht="16.5" customHeight="1" x14ac:dyDescent="0.25">
      <c r="K650" s="131"/>
      <c r="L650" s="132"/>
      <c r="M650" s="131"/>
    </row>
    <row r="651" spans="11:20" ht="16.5" customHeight="1" x14ac:dyDescent="0.25">
      <c r="K651" s="131"/>
      <c r="L651" s="132"/>
      <c r="M651" s="131"/>
    </row>
    <row r="652" spans="11:20" ht="16.5" customHeight="1" x14ac:dyDescent="0.25">
      <c r="K652" s="131"/>
      <c r="L652" s="132"/>
      <c r="M652" s="131"/>
    </row>
    <row r="653" spans="11:20" ht="16.5" customHeight="1" x14ac:dyDescent="0.25">
      <c r="K653" s="131"/>
      <c r="L653" s="132"/>
      <c r="M653" s="131"/>
    </row>
    <row r="654" spans="11:20" ht="16.5" customHeight="1" x14ac:dyDescent="0.25">
      <c r="K654" s="131"/>
      <c r="L654" s="132"/>
      <c r="M654" s="131"/>
    </row>
    <row r="655" spans="11:20" ht="16.5" customHeight="1" x14ac:dyDescent="0.25">
      <c r="K655" s="131"/>
      <c r="L655" s="132"/>
      <c r="M655" s="131"/>
    </row>
    <row r="656" spans="11:20" ht="16.5" customHeight="1" x14ac:dyDescent="0.25">
      <c r="K656" s="131"/>
      <c r="L656" s="132"/>
      <c r="M656" s="131"/>
    </row>
    <row r="657" spans="11:13" ht="16.5" customHeight="1" x14ac:dyDescent="0.25">
      <c r="K657" s="131"/>
      <c r="L657" s="132"/>
      <c r="M657" s="131"/>
    </row>
    <row r="658" spans="11:13" ht="16.5" customHeight="1" x14ac:dyDescent="0.25">
      <c r="K658" s="131"/>
      <c r="L658" s="132"/>
      <c r="M658" s="131"/>
    </row>
    <row r="659" spans="11:13" ht="16.5" customHeight="1" x14ac:dyDescent="0.25">
      <c r="K659" s="131"/>
      <c r="L659" s="132"/>
      <c r="M659" s="131"/>
    </row>
    <row r="660" spans="11:13" ht="16.5" customHeight="1" x14ac:dyDescent="0.25">
      <c r="K660" s="131"/>
      <c r="L660" s="132"/>
      <c r="M660" s="131"/>
    </row>
    <row r="661" spans="11:13" ht="16.5" customHeight="1" x14ac:dyDescent="0.25">
      <c r="K661" s="131"/>
      <c r="L661" s="132"/>
      <c r="M661" s="131"/>
    </row>
    <row r="662" spans="11:13" ht="16.5" customHeight="1" x14ac:dyDescent="0.25">
      <c r="K662" s="131"/>
      <c r="L662" s="132"/>
      <c r="M662" s="131"/>
    </row>
    <row r="663" spans="11:13" ht="16.5" customHeight="1" x14ac:dyDescent="0.25">
      <c r="K663" s="131"/>
      <c r="L663" s="132"/>
      <c r="M663" s="131"/>
    </row>
    <row r="664" spans="11:13" ht="16.5" customHeight="1" x14ac:dyDescent="0.25">
      <c r="K664" s="131"/>
      <c r="L664" s="132"/>
      <c r="M664" s="131"/>
    </row>
    <row r="665" spans="11:13" ht="16.5" customHeight="1" x14ac:dyDescent="0.25">
      <c r="K665" s="131"/>
      <c r="L665" s="132"/>
      <c r="M665" s="131"/>
    </row>
    <row r="666" spans="11:13" ht="16.5" customHeight="1" x14ac:dyDescent="0.25">
      <c r="K666" s="131"/>
      <c r="L666" s="132"/>
      <c r="M666" s="131"/>
    </row>
    <row r="667" spans="11:13" ht="16.5" customHeight="1" x14ac:dyDescent="0.25">
      <c r="K667" s="131"/>
      <c r="L667" s="132"/>
      <c r="M667" s="131"/>
    </row>
    <row r="668" spans="11:13" ht="16.5" customHeight="1" x14ac:dyDescent="0.25">
      <c r="K668" s="131"/>
      <c r="L668" s="132"/>
      <c r="M668" s="131"/>
    </row>
    <row r="669" spans="11:13" ht="16.5" customHeight="1" x14ac:dyDescent="0.25">
      <c r="K669" s="131"/>
      <c r="L669" s="132"/>
      <c r="M669" s="131"/>
    </row>
    <row r="670" spans="11:13" ht="16.5" customHeight="1" x14ac:dyDescent="0.25">
      <c r="K670" s="131"/>
      <c r="L670" s="132"/>
      <c r="M670" s="131"/>
    </row>
    <row r="671" spans="11:13" ht="16.5" customHeight="1" x14ac:dyDescent="0.25">
      <c r="K671" s="131"/>
      <c r="L671" s="132"/>
      <c r="M671" s="131"/>
    </row>
    <row r="672" spans="11:13" ht="16.5" customHeight="1" x14ac:dyDescent="0.25">
      <c r="K672" s="131"/>
      <c r="L672" s="132"/>
      <c r="M672" s="131"/>
    </row>
    <row r="673" spans="11:13" ht="16.5" customHeight="1" x14ac:dyDescent="0.25">
      <c r="K673" s="131"/>
      <c r="L673" s="132"/>
      <c r="M673" s="131"/>
    </row>
    <row r="674" spans="11:13" ht="16.5" customHeight="1" x14ac:dyDescent="0.25">
      <c r="K674" s="131"/>
      <c r="L674" s="132"/>
      <c r="M674" s="131"/>
    </row>
    <row r="675" spans="11:13" ht="16.5" customHeight="1" x14ac:dyDescent="0.25">
      <c r="K675" s="131"/>
      <c r="L675" s="132"/>
      <c r="M675" s="131"/>
    </row>
    <row r="676" spans="11:13" ht="16.5" customHeight="1" x14ac:dyDescent="0.25">
      <c r="K676" s="131"/>
      <c r="L676" s="132"/>
      <c r="M676" s="131"/>
    </row>
    <row r="677" spans="11:13" ht="16.5" customHeight="1" x14ac:dyDescent="0.25">
      <c r="K677" s="131"/>
      <c r="L677" s="132"/>
      <c r="M677" s="131"/>
    </row>
    <row r="678" spans="11:13" ht="16.5" customHeight="1" x14ac:dyDescent="0.25">
      <c r="K678" s="131"/>
      <c r="L678" s="132"/>
      <c r="M678" s="131"/>
    </row>
    <row r="679" spans="11:13" ht="16.5" customHeight="1" x14ac:dyDescent="0.25">
      <c r="K679" s="131"/>
      <c r="L679" s="132"/>
      <c r="M679" s="131"/>
    </row>
    <row r="680" spans="11:13" ht="16.5" customHeight="1" x14ac:dyDescent="0.25">
      <c r="K680" s="131"/>
      <c r="L680" s="132"/>
      <c r="M680" s="131"/>
    </row>
    <row r="681" spans="11:13" ht="16.5" customHeight="1" x14ac:dyDescent="0.25">
      <c r="K681" s="131"/>
      <c r="L681" s="132"/>
      <c r="M681" s="131"/>
    </row>
    <row r="682" spans="11:13" ht="16.5" customHeight="1" x14ac:dyDescent="0.25">
      <c r="K682" s="131"/>
      <c r="L682" s="132"/>
      <c r="M682" s="131"/>
    </row>
    <row r="683" spans="11:13" ht="16.5" customHeight="1" x14ac:dyDescent="0.25">
      <c r="K683" s="131"/>
      <c r="L683" s="132"/>
      <c r="M683" s="131"/>
    </row>
    <row r="684" spans="11:13" ht="16.5" customHeight="1" x14ac:dyDescent="0.25">
      <c r="K684" s="131"/>
      <c r="L684" s="132"/>
      <c r="M684" s="131"/>
    </row>
    <row r="685" spans="11:13" ht="16.5" customHeight="1" x14ac:dyDescent="0.25">
      <c r="K685" s="131"/>
      <c r="L685" s="132"/>
      <c r="M685" s="131"/>
    </row>
    <row r="686" spans="11:13" ht="16.5" customHeight="1" x14ac:dyDescent="0.25">
      <c r="K686" s="131"/>
      <c r="L686" s="132"/>
      <c r="M686" s="131"/>
    </row>
    <row r="687" spans="11:13" ht="16.5" customHeight="1" x14ac:dyDescent="0.25">
      <c r="K687" s="131"/>
      <c r="L687" s="132"/>
      <c r="M687" s="131"/>
    </row>
    <row r="688" spans="11:13" ht="16.5" customHeight="1" x14ac:dyDescent="0.25">
      <c r="K688" s="131"/>
      <c r="L688" s="132"/>
      <c r="M688" s="131"/>
    </row>
    <row r="689" spans="11:16" ht="16.5" customHeight="1" x14ac:dyDescent="0.25">
      <c r="K689" s="131"/>
      <c r="L689" s="132"/>
      <c r="M689" s="131"/>
    </row>
    <row r="690" spans="11:16" ht="16.5" customHeight="1" x14ac:dyDescent="0.25">
      <c r="K690" s="131"/>
      <c r="L690" s="132"/>
      <c r="M690" s="131"/>
    </row>
    <row r="691" spans="11:16" ht="16.5" customHeight="1" x14ac:dyDescent="0.25">
      <c r="K691" s="131"/>
      <c r="L691" s="132"/>
      <c r="M691" s="131"/>
    </row>
    <row r="692" spans="11:16" ht="11.25" customHeight="1" x14ac:dyDescent="0.25">
      <c r="K692" s="131"/>
      <c r="L692" s="132"/>
      <c r="M692" s="131"/>
    </row>
    <row r="693" spans="11:16" ht="16.5" customHeight="1" x14ac:dyDescent="0.25">
      <c r="K693" s="131"/>
      <c r="L693" s="132"/>
      <c r="M693" s="131"/>
    </row>
    <row r="694" spans="11:16" ht="16.5" customHeight="1" x14ac:dyDescent="0.25">
      <c r="K694" s="131"/>
      <c r="L694" s="132"/>
      <c r="M694" s="131"/>
    </row>
    <row r="695" spans="11:16" ht="11.25" customHeight="1" x14ac:dyDescent="0.25">
      <c r="K695" s="131"/>
      <c r="L695" s="132"/>
      <c r="M695" s="131"/>
      <c r="P695" s="101"/>
    </row>
    <row r="696" spans="11:16" ht="16.5" customHeight="1" x14ac:dyDescent="0.25">
      <c r="K696" s="131"/>
      <c r="L696" s="132"/>
      <c r="M696" s="131"/>
    </row>
    <row r="697" spans="11:16" x14ac:dyDescent="0.25">
      <c r="K697" s="131"/>
      <c r="L697" s="132"/>
      <c r="M697" s="131"/>
    </row>
    <row r="698" spans="11:16" ht="16.5" customHeight="1" x14ac:dyDescent="0.25">
      <c r="K698" s="131"/>
      <c r="L698" s="132"/>
      <c r="M698" s="131"/>
    </row>
    <row r="699" spans="11:16" ht="16.5" customHeight="1" x14ac:dyDescent="0.25">
      <c r="K699" s="131"/>
      <c r="L699" s="132"/>
      <c r="M699" s="131"/>
    </row>
    <row r="700" spans="11:16" ht="15.75" customHeight="1" x14ac:dyDescent="0.25">
      <c r="K700" s="131"/>
      <c r="L700" s="132"/>
      <c r="M700" s="131"/>
    </row>
    <row r="701" spans="11:16" ht="9.75" customHeight="1" x14ac:dyDescent="0.25">
      <c r="K701" s="131"/>
      <c r="L701" s="132"/>
      <c r="M701" s="131"/>
    </row>
    <row r="702" spans="11:16" ht="15.75" customHeight="1" x14ac:dyDescent="0.25">
      <c r="K702" s="131"/>
      <c r="L702" s="132"/>
      <c r="M702" s="131"/>
    </row>
    <row r="703" spans="11:16" ht="15.75" customHeight="1" x14ac:dyDescent="0.25">
      <c r="K703" s="131"/>
      <c r="L703" s="132"/>
      <c r="M703" s="131"/>
    </row>
    <row r="704" spans="11:16" ht="15.75" customHeight="1" x14ac:dyDescent="0.25">
      <c r="K704" s="131"/>
      <c r="L704" s="132"/>
      <c r="M704" s="131"/>
    </row>
    <row r="705" spans="11:13" ht="15.75" customHeight="1" x14ac:dyDescent="0.25">
      <c r="K705" s="131"/>
      <c r="L705" s="132"/>
      <c r="M705" s="131"/>
    </row>
    <row r="706" spans="11:13" ht="15.75" customHeight="1" x14ac:dyDescent="0.25">
      <c r="K706" s="131"/>
      <c r="L706" s="132"/>
      <c r="M706" s="131"/>
    </row>
    <row r="707" spans="11:13" ht="30.75" customHeight="1" x14ac:dyDescent="0.25">
      <c r="K707" s="131"/>
      <c r="L707" s="132"/>
      <c r="M707" s="131"/>
    </row>
    <row r="708" spans="11:13" ht="12" customHeight="1" x14ac:dyDescent="0.25">
      <c r="K708" s="131"/>
      <c r="L708" s="132"/>
      <c r="M708" s="131"/>
    </row>
    <row r="709" spans="11:13" ht="15.75" customHeight="1" x14ac:dyDescent="0.25">
      <c r="K709" s="131"/>
      <c r="L709" s="132"/>
      <c r="M709" s="131"/>
    </row>
    <row r="710" spans="11:13" ht="11.25" customHeight="1" x14ac:dyDescent="0.25">
      <c r="K710" s="131"/>
      <c r="L710" s="132"/>
      <c r="M710" s="131"/>
    </row>
    <row r="711" spans="11:13" ht="15.75" customHeight="1" x14ac:dyDescent="0.25">
      <c r="K711" s="131"/>
      <c r="L711" s="132"/>
      <c r="M711" s="131"/>
    </row>
    <row r="712" spans="11:13" ht="15.75" customHeight="1" x14ac:dyDescent="0.25">
      <c r="K712" s="131"/>
      <c r="L712" s="132"/>
      <c r="M712" s="131"/>
    </row>
    <row r="713" spans="11:13" ht="15.75" customHeight="1" x14ac:dyDescent="0.25">
      <c r="K713" s="131"/>
      <c r="L713" s="132"/>
      <c r="M713" s="131"/>
    </row>
    <row r="714" spans="11:13" ht="15.75" customHeight="1" x14ac:dyDescent="0.25">
      <c r="K714" s="131"/>
      <c r="L714" s="132"/>
      <c r="M714" s="131"/>
    </row>
    <row r="715" spans="11:13" ht="15.75" customHeight="1" x14ac:dyDescent="0.25">
      <c r="K715" s="131"/>
      <c r="L715" s="132"/>
      <c r="M715" s="131"/>
    </row>
    <row r="716" spans="11:13" ht="15.75" customHeight="1" x14ac:dyDescent="0.25">
      <c r="K716" s="131"/>
      <c r="L716" s="132"/>
      <c r="M716" s="131"/>
    </row>
    <row r="717" spans="11:13" ht="15.75" customHeight="1" x14ac:dyDescent="0.25">
      <c r="K717" s="131"/>
      <c r="L717" s="132"/>
      <c r="M717" s="131"/>
    </row>
    <row r="718" spans="11:13" ht="15.75" customHeight="1" x14ac:dyDescent="0.25">
      <c r="K718" s="131"/>
      <c r="L718" s="132"/>
      <c r="M718" s="131"/>
    </row>
    <row r="719" spans="11:13" ht="15.75" customHeight="1" x14ac:dyDescent="0.25">
      <c r="K719" s="131"/>
      <c r="L719" s="132"/>
      <c r="M719" s="131"/>
    </row>
    <row r="720" spans="11:13" ht="15.75" customHeight="1" x14ac:dyDescent="0.25">
      <c r="K720" s="131"/>
      <c r="L720" s="132"/>
      <c r="M720" s="131"/>
    </row>
    <row r="721" spans="11:13" ht="15.75" customHeight="1" x14ac:dyDescent="0.25">
      <c r="K721" s="131"/>
      <c r="L721" s="132"/>
      <c r="M721" s="131"/>
    </row>
    <row r="722" spans="11:13" ht="15.75" customHeight="1" x14ac:dyDescent="0.25">
      <c r="K722" s="131"/>
      <c r="L722" s="132"/>
      <c r="M722" s="131"/>
    </row>
    <row r="723" spans="11:13" ht="15.75" customHeight="1" x14ac:dyDescent="0.25">
      <c r="K723" s="131"/>
      <c r="L723" s="132"/>
      <c r="M723" s="131"/>
    </row>
    <row r="724" spans="11:13" ht="15.75" customHeight="1" x14ac:dyDescent="0.25">
      <c r="K724" s="131"/>
      <c r="L724" s="132"/>
      <c r="M724" s="131"/>
    </row>
    <row r="725" spans="11:13" ht="15.75" customHeight="1" x14ac:dyDescent="0.25">
      <c r="K725" s="131"/>
      <c r="L725" s="132"/>
      <c r="M725" s="131"/>
    </row>
    <row r="726" spans="11:13" ht="15.75" customHeight="1" x14ac:dyDescent="0.25">
      <c r="K726" s="131"/>
      <c r="L726" s="132"/>
      <c r="M726" s="131"/>
    </row>
    <row r="727" spans="11:13" ht="15.75" customHeight="1" x14ac:dyDescent="0.25">
      <c r="K727" s="131"/>
      <c r="L727" s="132"/>
      <c r="M727" s="131"/>
    </row>
    <row r="728" spans="11:13" ht="11.25" customHeight="1" x14ac:dyDescent="0.25">
      <c r="K728" s="131"/>
      <c r="L728" s="132"/>
      <c r="M728" s="131"/>
    </row>
    <row r="729" spans="11:13" ht="15.75" customHeight="1" x14ac:dyDescent="0.25">
      <c r="K729" s="131"/>
      <c r="L729" s="132"/>
      <c r="M729" s="131"/>
    </row>
    <row r="730" spans="11:13" ht="12" customHeight="1" x14ac:dyDescent="0.25">
      <c r="K730" s="131"/>
      <c r="L730" s="132"/>
      <c r="M730" s="131"/>
    </row>
    <row r="731" spans="11:13" ht="15.75" customHeight="1" x14ac:dyDescent="0.25">
      <c r="K731" s="131"/>
      <c r="L731" s="132"/>
      <c r="M731" s="131"/>
    </row>
    <row r="732" spans="11:13" ht="15.75" customHeight="1" x14ac:dyDescent="0.25">
      <c r="K732" s="131"/>
      <c r="L732" s="132"/>
      <c r="M732" s="131"/>
    </row>
    <row r="733" spans="11:13" ht="11.25" customHeight="1" x14ac:dyDescent="0.25">
      <c r="K733" s="131"/>
      <c r="L733" s="132"/>
      <c r="M733" s="131"/>
    </row>
    <row r="734" spans="11:13" ht="15.75" customHeight="1" x14ac:dyDescent="0.25">
      <c r="K734" s="131"/>
      <c r="L734" s="132"/>
      <c r="M734" s="131"/>
    </row>
    <row r="735" spans="11:13" ht="15.75" customHeight="1" x14ac:dyDescent="0.25">
      <c r="K735" s="131"/>
      <c r="L735" s="132"/>
      <c r="M735" s="131"/>
    </row>
    <row r="736" spans="11:13" ht="15.75" customHeight="1" x14ac:dyDescent="0.25">
      <c r="K736" s="131"/>
      <c r="L736" s="132"/>
      <c r="M736" s="131"/>
    </row>
    <row r="737" spans="11:13" ht="15.75" customHeight="1" x14ac:dyDescent="0.25">
      <c r="K737" s="131"/>
      <c r="L737" s="132"/>
      <c r="M737" s="131"/>
    </row>
    <row r="738" spans="11:13" ht="31.5" customHeight="1" x14ac:dyDescent="0.25">
      <c r="K738" s="131"/>
      <c r="L738" s="132"/>
      <c r="M738" s="131"/>
    </row>
    <row r="739" spans="11:13" ht="13.5" customHeight="1" x14ac:dyDescent="0.25">
      <c r="K739" s="131"/>
      <c r="L739" s="132"/>
      <c r="M739" s="131"/>
    </row>
    <row r="740" spans="11:13" ht="15.75" customHeight="1" x14ac:dyDescent="0.25">
      <c r="K740" s="131"/>
      <c r="L740" s="132"/>
      <c r="M740" s="131"/>
    </row>
    <row r="741" spans="11:13" ht="15.75" customHeight="1" x14ac:dyDescent="0.25">
      <c r="K741" s="131"/>
      <c r="L741" s="132"/>
      <c r="M741" s="131"/>
    </row>
    <row r="742" spans="11:13" ht="15.75" customHeight="1" x14ac:dyDescent="0.25">
      <c r="K742" s="131"/>
      <c r="L742" s="132"/>
      <c r="M742" s="131"/>
    </row>
    <row r="743" spans="11:13" ht="15" customHeight="1" x14ac:dyDescent="0.25">
      <c r="K743" s="131"/>
      <c r="L743" s="132"/>
      <c r="M743" s="131"/>
    </row>
    <row r="744" spans="11:13" ht="11.25" customHeight="1" x14ac:dyDescent="0.25">
      <c r="K744" s="131"/>
      <c r="L744" s="132"/>
      <c r="M744" s="131"/>
    </row>
    <row r="745" spans="11:13" ht="15.75" customHeight="1" x14ac:dyDescent="0.25">
      <c r="K745" s="131"/>
      <c r="L745" s="132"/>
      <c r="M745" s="131"/>
    </row>
    <row r="746" spans="11:13" ht="15.75" customHeight="1" x14ac:dyDescent="0.25">
      <c r="K746" s="131"/>
      <c r="L746" s="132"/>
      <c r="M746" s="131"/>
    </row>
    <row r="747" spans="11:13" ht="15.75" customHeight="1" x14ac:dyDescent="0.25">
      <c r="K747" s="131"/>
      <c r="L747" s="132"/>
      <c r="M747" s="131"/>
    </row>
    <row r="748" spans="11:13" ht="15.75" customHeight="1" x14ac:dyDescent="0.25">
      <c r="K748" s="131"/>
      <c r="L748" s="132"/>
      <c r="M748" s="131"/>
    </row>
    <row r="749" spans="11:13" ht="15.75" customHeight="1" x14ac:dyDescent="0.25">
      <c r="K749" s="131"/>
      <c r="L749" s="132"/>
      <c r="M749" s="131"/>
    </row>
    <row r="750" spans="11:13" ht="15.75" customHeight="1" x14ac:dyDescent="0.25">
      <c r="K750" s="131"/>
      <c r="L750" s="132"/>
      <c r="M750" s="131"/>
    </row>
    <row r="751" spans="11:13" ht="11.25" customHeight="1" x14ac:dyDescent="0.25">
      <c r="K751" s="131"/>
      <c r="L751" s="132"/>
      <c r="M751" s="131"/>
    </row>
    <row r="752" spans="11:13" ht="15.75" customHeight="1" x14ac:dyDescent="0.25">
      <c r="K752" s="131"/>
      <c r="L752" s="132"/>
      <c r="M752" s="131"/>
    </row>
    <row r="753" spans="11:13" ht="12.75" customHeight="1" x14ac:dyDescent="0.25">
      <c r="K753" s="131"/>
      <c r="L753" s="132"/>
      <c r="M753" s="131"/>
    </row>
    <row r="754" spans="11:13" ht="15.75" customHeight="1" x14ac:dyDescent="0.25">
      <c r="K754" s="131"/>
      <c r="L754" s="132"/>
      <c r="M754" s="131"/>
    </row>
    <row r="755" spans="11:13" ht="12.75" customHeight="1" x14ac:dyDescent="0.25">
      <c r="K755" s="131"/>
      <c r="L755" s="132"/>
      <c r="M755" s="131"/>
    </row>
    <row r="756" spans="11:13" ht="15.75" customHeight="1" x14ac:dyDescent="0.25">
      <c r="K756" s="131"/>
      <c r="L756" s="132"/>
      <c r="M756" s="131"/>
    </row>
    <row r="757" spans="11:13" ht="12.75" customHeight="1" x14ac:dyDescent="0.25">
      <c r="K757" s="131"/>
      <c r="L757" s="132"/>
      <c r="M757" s="131"/>
    </row>
    <row r="758" spans="11:13" ht="15.75" customHeight="1" x14ac:dyDescent="0.25">
      <c r="K758" s="131"/>
      <c r="L758" s="132"/>
      <c r="M758" s="131"/>
    </row>
    <row r="759" spans="11:13" ht="15.75" customHeight="1" x14ac:dyDescent="0.25">
      <c r="K759" s="131"/>
      <c r="L759" s="132"/>
      <c r="M759" s="131"/>
    </row>
    <row r="760" spans="11:13" ht="15.75" customHeight="1" x14ac:dyDescent="0.25">
      <c r="K760" s="131"/>
      <c r="L760" s="132"/>
      <c r="M760" s="131"/>
    </row>
    <row r="761" spans="11:13" ht="15.75" customHeight="1" x14ac:dyDescent="0.25">
      <c r="K761" s="131"/>
      <c r="L761" s="132"/>
      <c r="M761" s="131"/>
    </row>
    <row r="762" spans="11:13" ht="15.75" customHeight="1" x14ac:dyDescent="0.25">
      <c r="K762" s="131"/>
      <c r="L762" s="132"/>
      <c r="M762" s="131"/>
    </row>
    <row r="763" spans="11:13" ht="15.75" customHeight="1" x14ac:dyDescent="0.25">
      <c r="K763" s="131"/>
      <c r="L763" s="132"/>
      <c r="M763" s="131"/>
    </row>
    <row r="764" spans="11:13" ht="15.75" customHeight="1" x14ac:dyDescent="0.25">
      <c r="K764" s="131"/>
      <c r="L764" s="132"/>
      <c r="M764" s="131"/>
    </row>
    <row r="765" spans="11:13" ht="15.75" customHeight="1" x14ac:dyDescent="0.25">
      <c r="K765" s="131"/>
      <c r="L765" s="132"/>
      <c r="M765" s="131"/>
    </row>
    <row r="766" spans="11:13" ht="15.75" customHeight="1" x14ac:dyDescent="0.25">
      <c r="K766" s="131"/>
      <c r="L766" s="132"/>
      <c r="M766" s="131"/>
    </row>
    <row r="767" spans="11:13" ht="15.75" customHeight="1" x14ac:dyDescent="0.25">
      <c r="K767" s="131"/>
      <c r="L767" s="132"/>
      <c r="M767" s="131"/>
    </row>
    <row r="768" spans="11:13" ht="8.25" customHeight="1" x14ac:dyDescent="0.25">
      <c r="K768" s="131"/>
      <c r="L768" s="132"/>
      <c r="M768" s="131"/>
    </row>
    <row r="769" spans="11:17" x14ac:dyDescent="0.25">
      <c r="K769" s="131"/>
      <c r="L769" s="132"/>
      <c r="M769" s="131"/>
    </row>
    <row r="770" spans="11:17" ht="14.4" x14ac:dyDescent="0.3">
      <c r="K770" s="131"/>
      <c r="L770" s="132"/>
      <c r="M770" s="131"/>
      <c r="Q770" s="174"/>
    </row>
    <row r="771" spans="11:17" x14ac:dyDescent="0.25">
      <c r="K771" s="131"/>
      <c r="L771" s="132"/>
      <c r="M771" s="131"/>
    </row>
    <row r="772" spans="11:17" x14ac:dyDescent="0.25">
      <c r="K772" s="131"/>
      <c r="L772" s="132"/>
      <c r="M772" s="131"/>
    </row>
    <row r="773" spans="11:17" x14ac:dyDescent="0.25">
      <c r="K773" s="131"/>
      <c r="L773" s="132"/>
      <c r="M773" s="131"/>
    </row>
    <row r="774" spans="11:17" x14ac:dyDescent="0.25">
      <c r="K774" s="131"/>
      <c r="L774" s="132"/>
      <c r="M774" s="131"/>
    </row>
    <row r="775" spans="11:17" x14ac:dyDescent="0.25">
      <c r="K775" s="131"/>
      <c r="L775" s="132"/>
      <c r="M775" s="131"/>
    </row>
    <row r="776" spans="11:17" x14ac:dyDescent="0.25">
      <c r="K776" s="131"/>
      <c r="L776" s="132"/>
      <c r="M776" s="131"/>
    </row>
    <row r="777" spans="11:17" x14ac:dyDescent="0.25">
      <c r="K777" s="131"/>
      <c r="L777" s="132"/>
      <c r="M777" s="131"/>
    </row>
    <row r="778" spans="11:17" x14ac:dyDescent="0.25">
      <c r="K778" s="131"/>
      <c r="L778" s="132"/>
      <c r="M778" s="131"/>
    </row>
    <row r="779" spans="11:17" x14ac:dyDescent="0.25">
      <c r="K779" s="131"/>
      <c r="L779" s="132"/>
      <c r="M779" s="131"/>
    </row>
    <row r="780" spans="11:17" x14ac:dyDescent="0.25">
      <c r="K780" s="131"/>
      <c r="L780" s="132"/>
      <c r="M780" s="131"/>
    </row>
    <row r="781" spans="11:17" x14ac:dyDescent="0.25">
      <c r="K781" s="131"/>
      <c r="L781" s="132"/>
      <c r="M781" s="131"/>
    </row>
    <row r="782" spans="11:17" x14ac:dyDescent="0.25">
      <c r="K782" s="131"/>
      <c r="L782" s="132"/>
      <c r="M782" s="131"/>
    </row>
    <row r="783" spans="11:17" x14ac:dyDescent="0.25">
      <c r="K783" s="131"/>
      <c r="L783" s="132"/>
      <c r="M783" s="131"/>
    </row>
    <row r="784" spans="11:17" x14ac:dyDescent="0.25">
      <c r="K784" s="131"/>
      <c r="L784" s="132"/>
      <c r="M784" s="131"/>
    </row>
    <row r="785" spans="11:13" x14ac:dyDescent="0.25">
      <c r="K785" s="131"/>
      <c r="L785" s="132"/>
      <c r="M785" s="131"/>
    </row>
    <row r="786" spans="11:13" x14ac:dyDescent="0.25">
      <c r="K786" s="131"/>
      <c r="L786" s="132"/>
      <c r="M786" s="131"/>
    </row>
    <row r="787" spans="11:13" x14ac:dyDescent="0.25">
      <c r="K787" s="131"/>
      <c r="L787" s="132"/>
      <c r="M787" s="131"/>
    </row>
    <row r="788" spans="11:13" x14ac:dyDescent="0.25">
      <c r="K788" s="131"/>
      <c r="L788" s="132"/>
      <c r="M788" s="131"/>
    </row>
    <row r="789" spans="11:13" x14ac:dyDescent="0.25">
      <c r="K789" s="131"/>
      <c r="L789" s="132"/>
      <c r="M789" s="131"/>
    </row>
    <row r="790" spans="11:13" x14ac:dyDescent="0.25">
      <c r="K790" s="131"/>
      <c r="L790" s="132"/>
      <c r="M790" s="131"/>
    </row>
    <row r="791" spans="11:13" x14ac:dyDescent="0.25">
      <c r="K791" s="131"/>
      <c r="L791" s="132"/>
      <c r="M791" s="131"/>
    </row>
    <row r="792" spans="11:13" x14ac:dyDescent="0.25">
      <c r="K792" s="131"/>
      <c r="L792" s="132"/>
      <c r="M792" s="131"/>
    </row>
    <row r="793" spans="11:13" x14ac:dyDescent="0.25">
      <c r="K793" s="131"/>
      <c r="L793" s="132"/>
      <c r="M793" s="131"/>
    </row>
    <row r="794" spans="11:13" x14ac:dyDescent="0.25">
      <c r="K794" s="131"/>
      <c r="L794" s="132"/>
      <c r="M794" s="131"/>
    </row>
    <row r="795" spans="11:13" x14ac:dyDescent="0.25">
      <c r="K795" s="131"/>
      <c r="L795" s="132"/>
      <c r="M795" s="131"/>
    </row>
    <row r="796" spans="11:13" x14ac:dyDescent="0.25">
      <c r="K796" s="131"/>
      <c r="L796" s="132"/>
      <c r="M796" s="131"/>
    </row>
    <row r="797" spans="11:13" x14ac:dyDescent="0.25">
      <c r="K797" s="131"/>
      <c r="L797" s="132"/>
      <c r="M797" s="131"/>
    </row>
    <row r="798" spans="11:13" x14ac:dyDescent="0.25">
      <c r="K798" s="131"/>
      <c r="L798" s="132"/>
      <c r="M798" s="131"/>
    </row>
    <row r="799" spans="11:13" x14ac:dyDescent="0.25">
      <c r="K799" s="131"/>
      <c r="L799" s="132"/>
      <c r="M799" s="131"/>
    </row>
    <row r="800" spans="11:13" x14ac:dyDescent="0.25">
      <c r="K800" s="131"/>
      <c r="L800" s="132"/>
      <c r="M800" s="131"/>
    </row>
    <row r="801" spans="11:13" x14ac:dyDescent="0.25">
      <c r="K801" s="131"/>
      <c r="L801" s="132"/>
      <c r="M801" s="131"/>
    </row>
    <row r="802" spans="11:13" x14ac:dyDescent="0.25">
      <c r="K802" s="131"/>
      <c r="L802" s="132"/>
      <c r="M802" s="131"/>
    </row>
    <row r="803" spans="11:13" x14ac:dyDescent="0.25">
      <c r="K803" s="131"/>
      <c r="L803" s="132"/>
      <c r="M803" s="131"/>
    </row>
    <row r="804" spans="11:13" x14ac:dyDescent="0.25">
      <c r="K804" s="131"/>
      <c r="L804" s="132"/>
      <c r="M804" s="131"/>
    </row>
    <row r="805" spans="11:13" x14ac:dyDescent="0.25">
      <c r="K805" s="131"/>
      <c r="L805" s="132"/>
      <c r="M805" s="131"/>
    </row>
    <row r="806" spans="11:13" x14ac:dyDescent="0.25">
      <c r="K806" s="131"/>
      <c r="L806" s="132"/>
      <c r="M806" s="131"/>
    </row>
    <row r="807" spans="11:13" x14ac:dyDescent="0.25">
      <c r="K807" s="131"/>
      <c r="L807" s="132"/>
      <c r="M807" s="131"/>
    </row>
    <row r="808" spans="11:13" x14ac:dyDescent="0.25">
      <c r="K808" s="131"/>
      <c r="L808" s="132"/>
      <c r="M808" s="131"/>
    </row>
    <row r="809" spans="11:13" x14ac:dyDescent="0.25">
      <c r="K809" s="131"/>
      <c r="L809" s="132"/>
      <c r="M809" s="131"/>
    </row>
    <row r="810" spans="11:13" x14ac:dyDescent="0.25">
      <c r="K810" s="131"/>
      <c r="L810" s="132"/>
      <c r="M810" s="131"/>
    </row>
    <row r="811" spans="11:13" x14ac:dyDescent="0.25">
      <c r="K811" s="131"/>
      <c r="L811" s="132"/>
      <c r="M811" s="131"/>
    </row>
    <row r="812" spans="11:13" x14ac:dyDescent="0.25">
      <c r="K812" s="131"/>
      <c r="L812" s="132"/>
      <c r="M812" s="131"/>
    </row>
    <row r="813" spans="11:13" x14ac:dyDescent="0.25">
      <c r="K813" s="131"/>
      <c r="L813" s="132"/>
      <c r="M813" s="131"/>
    </row>
    <row r="814" spans="11:13" x14ac:dyDescent="0.25">
      <c r="K814" s="131"/>
      <c r="L814" s="132"/>
      <c r="M814" s="131"/>
    </row>
    <row r="815" spans="11:13" x14ac:dyDescent="0.25">
      <c r="K815" s="131"/>
      <c r="L815" s="132"/>
      <c r="M815" s="131"/>
    </row>
    <row r="816" spans="11:13" x14ac:dyDescent="0.25">
      <c r="K816" s="131"/>
      <c r="L816" s="132"/>
      <c r="M816" s="131"/>
    </row>
    <row r="817" spans="11:13" x14ac:dyDescent="0.25">
      <c r="K817" s="131"/>
      <c r="L817" s="132"/>
      <c r="M817" s="131"/>
    </row>
    <row r="818" spans="11:13" x14ac:dyDescent="0.25">
      <c r="K818" s="131"/>
      <c r="L818" s="132"/>
      <c r="M818" s="131"/>
    </row>
    <row r="819" spans="11:13" x14ac:dyDescent="0.25">
      <c r="K819" s="131"/>
      <c r="L819" s="132"/>
      <c r="M819" s="131"/>
    </row>
    <row r="820" spans="11:13" x14ac:dyDescent="0.25">
      <c r="K820" s="131"/>
      <c r="L820" s="132"/>
      <c r="M820" s="131"/>
    </row>
    <row r="821" spans="11:13" x14ac:dyDescent="0.25">
      <c r="K821" s="131"/>
      <c r="L821" s="132"/>
      <c r="M821" s="131"/>
    </row>
    <row r="822" spans="11:13" x14ac:dyDescent="0.25">
      <c r="K822" s="131"/>
      <c r="L822" s="132"/>
      <c r="M822" s="131"/>
    </row>
    <row r="823" spans="11:13" x14ac:dyDescent="0.25">
      <c r="K823" s="131"/>
      <c r="L823" s="132"/>
      <c r="M823" s="131"/>
    </row>
    <row r="824" spans="11:13" x14ac:dyDescent="0.25">
      <c r="K824" s="131"/>
      <c r="L824" s="132"/>
      <c r="M824" s="131"/>
    </row>
    <row r="825" spans="11:13" x14ac:dyDescent="0.25">
      <c r="K825" s="131"/>
      <c r="L825" s="132"/>
      <c r="M825" s="131"/>
    </row>
    <row r="826" spans="11:13" x14ac:dyDescent="0.25">
      <c r="K826" s="131"/>
      <c r="L826" s="132"/>
      <c r="M826" s="131"/>
    </row>
    <row r="827" spans="11:13" x14ac:dyDescent="0.25">
      <c r="K827" s="131"/>
      <c r="L827" s="132"/>
      <c r="M827" s="131"/>
    </row>
    <row r="828" spans="11:13" x14ac:dyDescent="0.25">
      <c r="K828" s="131"/>
      <c r="L828" s="132"/>
      <c r="M828" s="131"/>
    </row>
    <row r="829" spans="11:13" x14ac:dyDescent="0.25">
      <c r="K829" s="131"/>
      <c r="L829" s="132"/>
      <c r="M829" s="131"/>
    </row>
    <row r="830" spans="11:13" x14ac:dyDescent="0.25">
      <c r="K830" s="131"/>
      <c r="L830" s="132"/>
      <c r="M830" s="131"/>
    </row>
    <row r="831" spans="11:13" x14ac:dyDescent="0.25">
      <c r="K831" s="131"/>
      <c r="L831" s="132"/>
      <c r="M831" s="131"/>
    </row>
    <row r="832" spans="11:13" x14ac:dyDescent="0.25">
      <c r="K832" s="131"/>
      <c r="L832" s="132"/>
      <c r="M832" s="131"/>
    </row>
    <row r="833" spans="11:13" x14ac:dyDescent="0.25">
      <c r="K833" s="131"/>
      <c r="L833" s="132"/>
      <c r="M833" s="131"/>
    </row>
    <row r="834" spans="11:13" x14ac:dyDescent="0.25">
      <c r="K834" s="131"/>
      <c r="L834" s="132"/>
      <c r="M834" s="131"/>
    </row>
    <row r="835" spans="11:13" x14ac:dyDescent="0.25">
      <c r="K835" s="131"/>
      <c r="L835" s="132"/>
      <c r="M835" s="131"/>
    </row>
    <row r="836" spans="11:13" x14ac:dyDescent="0.25">
      <c r="K836" s="131"/>
      <c r="L836" s="132"/>
      <c r="M836" s="131"/>
    </row>
    <row r="837" spans="11:13" x14ac:dyDescent="0.25">
      <c r="K837" s="131"/>
      <c r="L837" s="132"/>
      <c r="M837" s="131"/>
    </row>
    <row r="838" spans="11:13" x14ac:dyDescent="0.25">
      <c r="K838" s="131"/>
      <c r="L838" s="132"/>
      <c r="M838" s="131"/>
    </row>
    <row r="839" spans="11:13" x14ac:dyDescent="0.25">
      <c r="K839" s="131"/>
      <c r="L839" s="132"/>
      <c r="M839" s="131"/>
    </row>
    <row r="840" spans="11:13" x14ac:dyDescent="0.25">
      <c r="K840" s="131"/>
      <c r="L840" s="132"/>
      <c r="M840" s="131"/>
    </row>
    <row r="841" spans="11:13" x14ac:dyDescent="0.25">
      <c r="K841" s="131"/>
      <c r="L841" s="132"/>
      <c r="M841" s="131"/>
    </row>
    <row r="842" spans="11:13" x14ac:dyDescent="0.25">
      <c r="K842" s="131"/>
      <c r="L842" s="132"/>
      <c r="M842" s="131"/>
    </row>
    <row r="843" spans="11:13" x14ac:dyDescent="0.25">
      <c r="K843" s="131"/>
      <c r="L843" s="132"/>
      <c r="M843" s="131"/>
    </row>
    <row r="844" spans="11:13" x14ac:dyDescent="0.25">
      <c r="K844" s="131"/>
      <c r="L844" s="132"/>
      <c r="M844" s="131"/>
    </row>
    <row r="845" spans="11:13" x14ac:dyDescent="0.25">
      <c r="K845" s="131"/>
      <c r="L845" s="132"/>
      <c r="M845" s="131"/>
    </row>
    <row r="846" spans="11:13" x14ac:dyDescent="0.25">
      <c r="K846" s="131"/>
      <c r="L846" s="132"/>
      <c r="M846" s="131"/>
    </row>
    <row r="847" spans="11:13" x14ac:dyDescent="0.25">
      <c r="K847" s="131"/>
      <c r="L847" s="132"/>
      <c r="M847" s="131"/>
    </row>
    <row r="848" spans="11:13" x14ac:dyDescent="0.25">
      <c r="K848" s="131"/>
      <c r="L848" s="132"/>
      <c r="M848" s="131"/>
    </row>
    <row r="849" spans="11:13" x14ac:dyDescent="0.25">
      <c r="K849" s="131"/>
      <c r="L849" s="132"/>
      <c r="M849" s="131"/>
    </row>
    <row r="850" spans="11:13" x14ac:dyDescent="0.25">
      <c r="K850" s="131"/>
      <c r="L850" s="132"/>
      <c r="M850" s="131"/>
    </row>
    <row r="851" spans="11:13" x14ac:dyDescent="0.25">
      <c r="K851" s="131"/>
      <c r="L851" s="132"/>
      <c r="M851" s="131"/>
    </row>
    <row r="852" spans="11:13" x14ac:dyDescent="0.25">
      <c r="K852" s="131"/>
      <c r="L852" s="132"/>
      <c r="M852" s="131"/>
    </row>
    <row r="853" spans="11:13" x14ac:dyDescent="0.25">
      <c r="K853" s="131"/>
      <c r="L853" s="132"/>
      <c r="M853" s="131"/>
    </row>
    <row r="854" spans="11:13" x14ac:dyDescent="0.25">
      <c r="K854" s="131"/>
      <c r="L854" s="132"/>
      <c r="M854" s="131"/>
    </row>
    <row r="855" spans="11:13" x14ac:dyDescent="0.25">
      <c r="K855" s="131"/>
      <c r="L855" s="132"/>
      <c r="M855" s="131"/>
    </row>
    <row r="856" spans="11:13" x14ac:dyDescent="0.25">
      <c r="K856" s="131"/>
      <c r="L856" s="132"/>
      <c r="M856" s="131"/>
    </row>
    <row r="857" spans="11:13" x14ac:dyDescent="0.25">
      <c r="K857" s="131"/>
      <c r="L857" s="132"/>
      <c r="M857" s="131"/>
    </row>
    <row r="858" spans="11:13" x14ac:dyDescent="0.25">
      <c r="K858" s="131"/>
      <c r="L858" s="132"/>
      <c r="M858" s="131"/>
    </row>
    <row r="859" spans="11:13" x14ac:dyDescent="0.25">
      <c r="K859" s="131"/>
      <c r="L859" s="132"/>
      <c r="M859" s="131"/>
    </row>
    <row r="860" spans="11:13" x14ac:dyDescent="0.25">
      <c r="K860" s="131"/>
      <c r="L860" s="132"/>
      <c r="M860" s="131"/>
    </row>
    <row r="861" spans="11:13" x14ac:dyDescent="0.25">
      <c r="K861" s="131"/>
      <c r="L861" s="132"/>
      <c r="M861" s="131"/>
    </row>
    <row r="862" spans="11:13" x14ac:dyDescent="0.25">
      <c r="K862" s="131"/>
      <c r="L862" s="132"/>
      <c r="M862" s="131"/>
    </row>
    <row r="863" spans="11:13" x14ac:dyDescent="0.25">
      <c r="K863" s="131"/>
      <c r="L863" s="132"/>
      <c r="M863" s="131"/>
    </row>
    <row r="864" spans="11:13" x14ac:dyDescent="0.25">
      <c r="K864" s="131"/>
      <c r="L864" s="132"/>
      <c r="M864" s="131"/>
    </row>
    <row r="865" spans="11:13" x14ac:dyDescent="0.25">
      <c r="K865" s="131"/>
      <c r="L865" s="132"/>
      <c r="M865" s="131"/>
    </row>
    <row r="866" spans="11:13" x14ac:dyDescent="0.25">
      <c r="K866" s="131"/>
      <c r="L866" s="132"/>
      <c r="M866" s="131"/>
    </row>
    <row r="867" spans="11:13" x14ac:dyDescent="0.25">
      <c r="K867" s="131"/>
      <c r="L867" s="132"/>
      <c r="M867" s="131"/>
    </row>
    <row r="868" spans="11:13" x14ac:dyDescent="0.25">
      <c r="K868" s="131"/>
      <c r="L868" s="132"/>
      <c r="M868" s="131"/>
    </row>
    <row r="869" spans="11:13" x14ac:dyDescent="0.25">
      <c r="K869" s="131"/>
      <c r="L869" s="132"/>
      <c r="M869" s="131"/>
    </row>
    <row r="870" spans="11:13" x14ac:dyDescent="0.25">
      <c r="K870" s="131"/>
      <c r="L870" s="132"/>
      <c r="M870" s="131"/>
    </row>
    <row r="871" spans="11:13" x14ac:dyDescent="0.25">
      <c r="K871" s="131"/>
      <c r="L871" s="132"/>
      <c r="M871" s="131"/>
    </row>
    <row r="872" spans="11:13" x14ac:dyDescent="0.25">
      <c r="K872" s="131"/>
      <c r="L872" s="132"/>
      <c r="M872" s="131"/>
    </row>
    <row r="873" spans="11:13" x14ac:dyDescent="0.25">
      <c r="K873" s="131"/>
      <c r="L873" s="132"/>
      <c r="M873" s="131"/>
    </row>
    <row r="874" spans="11:13" x14ac:dyDescent="0.25">
      <c r="K874" s="131"/>
      <c r="L874" s="132"/>
      <c r="M874" s="131"/>
    </row>
    <row r="875" spans="11:13" x14ac:dyDescent="0.25">
      <c r="K875" s="131"/>
      <c r="L875" s="132"/>
      <c r="M875" s="131"/>
    </row>
    <row r="876" spans="11:13" x14ac:dyDescent="0.25">
      <c r="K876" s="131"/>
      <c r="L876" s="132"/>
      <c r="M876" s="131"/>
    </row>
    <row r="877" spans="11:13" x14ac:dyDescent="0.25">
      <c r="K877" s="131"/>
      <c r="L877" s="132"/>
      <c r="M877" s="131"/>
    </row>
    <row r="878" spans="11:13" x14ac:dyDescent="0.25">
      <c r="K878" s="131"/>
      <c r="L878" s="132"/>
      <c r="M878" s="131"/>
    </row>
    <row r="879" spans="11:13" x14ac:dyDescent="0.25">
      <c r="K879" s="131"/>
      <c r="L879" s="132"/>
      <c r="M879" s="131"/>
    </row>
    <row r="880" spans="11:13" x14ac:dyDescent="0.25">
      <c r="K880" s="131"/>
      <c r="L880" s="132"/>
      <c r="M880" s="131"/>
    </row>
    <row r="881" spans="11:13" x14ac:dyDescent="0.25">
      <c r="K881" s="131"/>
      <c r="L881" s="132"/>
      <c r="M881" s="131"/>
    </row>
    <row r="882" spans="11:13" x14ac:dyDescent="0.25">
      <c r="K882" s="131"/>
      <c r="L882" s="132"/>
      <c r="M882" s="131"/>
    </row>
    <row r="883" spans="11:13" x14ac:dyDescent="0.25">
      <c r="K883" s="131"/>
      <c r="L883" s="132"/>
      <c r="M883" s="131"/>
    </row>
    <row r="884" spans="11:13" x14ac:dyDescent="0.25">
      <c r="K884" s="131"/>
      <c r="L884" s="132"/>
      <c r="M884" s="131"/>
    </row>
    <row r="885" spans="11:13" x14ac:dyDescent="0.25">
      <c r="K885" s="131"/>
      <c r="L885" s="132"/>
      <c r="M885" s="131"/>
    </row>
    <row r="886" spans="11:13" x14ac:dyDescent="0.25">
      <c r="K886" s="131"/>
      <c r="L886" s="132"/>
      <c r="M886" s="131"/>
    </row>
    <row r="887" spans="11:13" x14ac:dyDescent="0.25">
      <c r="K887" s="131"/>
      <c r="L887" s="132"/>
      <c r="M887" s="131"/>
    </row>
    <row r="888" spans="11:13" x14ac:dyDescent="0.25">
      <c r="K888" s="131"/>
      <c r="L888" s="132"/>
      <c r="M888" s="131"/>
    </row>
    <row r="889" spans="11:13" x14ac:dyDescent="0.25">
      <c r="K889" s="131"/>
      <c r="L889" s="132"/>
      <c r="M889" s="131"/>
    </row>
    <row r="890" spans="11:13" x14ac:dyDescent="0.25">
      <c r="K890" s="131"/>
      <c r="L890" s="132"/>
      <c r="M890" s="131"/>
    </row>
    <row r="891" spans="11:13" x14ac:dyDescent="0.25">
      <c r="K891" s="131"/>
      <c r="L891" s="132"/>
      <c r="M891" s="131"/>
    </row>
    <row r="892" spans="11:13" x14ac:dyDescent="0.25">
      <c r="K892" s="131"/>
      <c r="L892" s="132"/>
      <c r="M892" s="131"/>
    </row>
    <row r="893" spans="11:13" x14ac:dyDescent="0.25">
      <c r="K893" s="131"/>
      <c r="L893" s="132"/>
      <c r="M893" s="131"/>
    </row>
    <row r="894" spans="11:13" x14ac:dyDescent="0.25">
      <c r="K894" s="131"/>
      <c r="L894" s="132"/>
      <c r="M894" s="131"/>
    </row>
    <row r="895" spans="11:13" x14ac:dyDescent="0.25">
      <c r="K895" s="131"/>
      <c r="L895" s="132"/>
      <c r="M895" s="131"/>
    </row>
    <row r="896" spans="11:13" x14ac:dyDescent="0.25">
      <c r="K896" s="131"/>
      <c r="L896" s="132"/>
      <c r="M896" s="131"/>
    </row>
    <row r="897" spans="11:13" x14ac:dyDescent="0.25">
      <c r="K897" s="131"/>
      <c r="L897" s="132"/>
      <c r="M897" s="131"/>
    </row>
    <row r="898" spans="11:13" x14ac:dyDescent="0.25">
      <c r="K898" s="131"/>
      <c r="L898" s="132"/>
      <c r="M898" s="131"/>
    </row>
    <row r="899" spans="11:13" x14ac:dyDescent="0.25">
      <c r="K899" s="131"/>
      <c r="L899" s="132"/>
      <c r="M899" s="131"/>
    </row>
    <row r="900" spans="11:13" x14ac:dyDescent="0.25">
      <c r="K900" s="131"/>
      <c r="L900" s="132"/>
      <c r="M900" s="131"/>
    </row>
    <row r="901" spans="11:13" x14ac:dyDescent="0.25">
      <c r="K901" s="131"/>
      <c r="L901" s="132"/>
      <c r="M901" s="131"/>
    </row>
    <row r="902" spans="11:13" x14ac:dyDescent="0.25">
      <c r="K902" s="131"/>
      <c r="L902" s="132"/>
      <c r="M902" s="131"/>
    </row>
    <row r="903" spans="11:13" x14ac:dyDescent="0.25">
      <c r="K903" s="131"/>
      <c r="L903" s="132"/>
      <c r="M903" s="131"/>
    </row>
    <row r="904" spans="11:13" x14ac:dyDescent="0.25">
      <c r="K904" s="131"/>
      <c r="L904" s="132"/>
      <c r="M904" s="131"/>
    </row>
    <row r="905" spans="11:13" x14ac:dyDescent="0.25">
      <c r="K905" s="131"/>
      <c r="L905" s="132"/>
      <c r="M905" s="131"/>
    </row>
    <row r="906" spans="11:13" x14ac:dyDescent="0.25">
      <c r="K906" s="131"/>
      <c r="L906" s="132"/>
      <c r="M906" s="131"/>
    </row>
    <row r="907" spans="11:13" x14ac:dyDescent="0.25">
      <c r="K907" s="131"/>
      <c r="L907" s="132"/>
      <c r="M907" s="131"/>
    </row>
    <row r="908" spans="11:13" x14ac:dyDescent="0.25">
      <c r="K908" s="131"/>
      <c r="L908" s="132"/>
      <c r="M908" s="131"/>
    </row>
    <row r="909" spans="11:13" x14ac:dyDescent="0.25">
      <c r="K909" s="131"/>
      <c r="L909" s="132"/>
      <c r="M909" s="131"/>
    </row>
    <row r="910" spans="11:13" x14ac:dyDescent="0.25">
      <c r="K910" s="131"/>
      <c r="L910" s="132"/>
      <c r="M910" s="131"/>
    </row>
    <row r="911" spans="11:13" x14ac:dyDescent="0.25">
      <c r="K911" s="131"/>
      <c r="L911" s="132"/>
      <c r="M911" s="131"/>
    </row>
    <row r="912" spans="11:13" x14ac:dyDescent="0.25">
      <c r="K912" s="131"/>
      <c r="L912" s="132"/>
      <c r="M912" s="131"/>
    </row>
    <row r="913" spans="11:13" x14ac:dyDescent="0.25">
      <c r="K913" s="131"/>
      <c r="L913" s="132"/>
      <c r="M913" s="131"/>
    </row>
    <row r="914" spans="11:13" x14ac:dyDescent="0.25">
      <c r="K914" s="131"/>
      <c r="L914" s="132"/>
      <c r="M914" s="131"/>
    </row>
    <row r="915" spans="11:13" x14ac:dyDescent="0.25">
      <c r="K915" s="131"/>
      <c r="L915" s="132"/>
      <c r="M915" s="131"/>
    </row>
    <row r="916" spans="11:13" x14ac:dyDescent="0.25">
      <c r="K916" s="131"/>
      <c r="L916" s="132"/>
      <c r="M916" s="131"/>
    </row>
    <row r="917" spans="11:13" x14ac:dyDescent="0.25">
      <c r="K917" s="131"/>
      <c r="L917" s="132"/>
      <c r="M917" s="131"/>
    </row>
    <row r="918" spans="11:13" x14ac:dyDescent="0.25">
      <c r="K918" s="131"/>
      <c r="L918" s="132"/>
      <c r="M918" s="131"/>
    </row>
    <row r="919" spans="11:13" x14ac:dyDescent="0.25">
      <c r="K919" s="131"/>
      <c r="L919" s="132"/>
      <c r="M919" s="131"/>
    </row>
    <row r="920" spans="11:13" x14ac:dyDescent="0.25">
      <c r="K920" s="131"/>
      <c r="L920" s="132"/>
      <c r="M920" s="131"/>
    </row>
    <row r="921" spans="11:13" x14ac:dyDescent="0.25">
      <c r="K921" s="131"/>
      <c r="L921" s="132"/>
      <c r="M921" s="131"/>
    </row>
    <row r="922" spans="11:13" x14ac:dyDescent="0.25">
      <c r="K922" s="131"/>
      <c r="L922" s="132"/>
      <c r="M922" s="131"/>
    </row>
    <row r="923" spans="11:13" x14ac:dyDescent="0.25">
      <c r="K923" s="131"/>
      <c r="L923" s="132"/>
      <c r="M923" s="131"/>
    </row>
    <row r="924" spans="11:13" x14ac:dyDescent="0.25">
      <c r="K924" s="131"/>
      <c r="L924" s="132"/>
      <c r="M924" s="131"/>
    </row>
    <row r="925" spans="11:13" x14ac:dyDescent="0.25">
      <c r="K925" s="131"/>
      <c r="L925" s="132"/>
      <c r="M925" s="131"/>
    </row>
    <row r="926" spans="11:13" x14ac:dyDescent="0.25">
      <c r="K926" s="131"/>
      <c r="L926" s="132"/>
      <c r="M926" s="131"/>
    </row>
    <row r="927" spans="11:13" x14ac:dyDescent="0.25">
      <c r="K927" s="131"/>
      <c r="L927" s="132"/>
      <c r="M927" s="131"/>
    </row>
    <row r="928" spans="11:13" x14ac:dyDescent="0.25">
      <c r="K928" s="131"/>
      <c r="L928" s="132"/>
      <c r="M928" s="131"/>
    </row>
    <row r="929" spans="11:13" x14ac:dyDescent="0.25">
      <c r="K929" s="131"/>
      <c r="L929" s="132"/>
      <c r="M929" s="131"/>
    </row>
    <row r="930" spans="11:13" x14ac:dyDescent="0.25">
      <c r="K930" s="131"/>
      <c r="L930" s="132"/>
      <c r="M930" s="131"/>
    </row>
    <row r="931" spans="11:13" x14ac:dyDescent="0.25">
      <c r="K931" s="131"/>
      <c r="L931" s="132"/>
      <c r="M931" s="131"/>
    </row>
    <row r="932" spans="11:13" x14ac:dyDescent="0.25">
      <c r="K932" s="131"/>
      <c r="L932" s="132"/>
      <c r="M932" s="131"/>
    </row>
    <row r="933" spans="11:13" x14ac:dyDescent="0.25">
      <c r="K933" s="131"/>
      <c r="L933" s="132"/>
      <c r="M933" s="131"/>
    </row>
    <row r="934" spans="11:13" x14ac:dyDescent="0.25">
      <c r="K934" s="131"/>
      <c r="L934" s="132"/>
      <c r="M934" s="131"/>
    </row>
    <row r="935" spans="11:13" x14ac:dyDescent="0.25">
      <c r="K935" s="131"/>
      <c r="L935" s="132"/>
      <c r="M935" s="131"/>
    </row>
    <row r="936" spans="11:13" x14ac:dyDescent="0.25">
      <c r="K936" s="131"/>
      <c r="L936" s="132"/>
      <c r="M936" s="131"/>
    </row>
    <row r="937" spans="11:13" x14ac:dyDescent="0.25">
      <c r="K937" s="131"/>
      <c r="L937" s="132"/>
      <c r="M937" s="131"/>
    </row>
    <row r="938" spans="11:13" x14ac:dyDescent="0.25">
      <c r="K938" s="131"/>
      <c r="L938" s="132"/>
      <c r="M938" s="131"/>
    </row>
    <row r="939" spans="11:13" x14ac:dyDescent="0.25">
      <c r="K939" s="131"/>
      <c r="L939" s="132"/>
      <c r="M939" s="131"/>
    </row>
    <row r="940" spans="11:13" x14ac:dyDescent="0.25">
      <c r="K940" s="131"/>
      <c r="L940" s="132"/>
      <c r="M940" s="131"/>
    </row>
    <row r="941" spans="11:13" x14ac:dyDescent="0.25">
      <c r="K941" s="131"/>
      <c r="L941" s="132"/>
      <c r="M941" s="131"/>
    </row>
    <row r="942" spans="11:13" x14ac:dyDescent="0.25">
      <c r="K942" s="131"/>
      <c r="L942" s="132"/>
      <c r="M942" s="131"/>
    </row>
    <row r="943" spans="11:13" x14ac:dyDescent="0.25">
      <c r="K943" s="131"/>
      <c r="L943" s="132"/>
      <c r="M943" s="131"/>
    </row>
    <row r="944" spans="11:13" x14ac:dyDescent="0.25">
      <c r="K944" s="131"/>
      <c r="L944" s="132"/>
      <c r="M944" s="131"/>
    </row>
    <row r="945" spans="11:13" x14ac:dyDescent="0.25">
      <c r="K945" s="131"/>
      <c r="L945" s="132"/>
      <c r="M945" s="131"/>
    </row>
    <row r="946" spans="11:13" x14ac:dyDescent="0.25">
      <c r="K946" s="131"/>
      <c r="L946" s="132"/>
      <c r="M946" s="131"/>
    </row>
    <row r="947" spans="11:13" x14ac:dyDescent="0.25">
      <c r="K947" s="131"/>
      <c r="L947" s="132"/>
      <c r="M947" s="131"/>
    </row>
    <row r="948" spans="11:13" x14ac:dyDescent="0.25">
      <c r="K948" s="131"/>
      <c r="L948" s="132"/>
      <c r="M948" s="131"/>
    </row>
    <row r="949" spans="11:13" x14ac:dyDescent="0.25">
      <c r="K949" s="131"/>
      <c r="L949" s="132"/>
      <c r="M949" s="131"/>
    </row>
    <row r="950" spans="11:13" x14ac:dyDescent="0.25">
      <c r="K950" s="131"/>
      <c r="L950" s="132"/>
      <c r="M950" s="131"/>
    </row>
    <row r="951" spans="11:13" x14ac:dyDescent="0.25">
      <c r="K951" s="131"/>
      <c r="L951" s="132"/>
      <c r="M951" s="131"/>
    </row>
    <row r="952" spans="11:13" x14ac:dyDescent="0.25">
      <c r="K952" s="131"/>
      <c r="L952" s="132"/>
      <c r="M952" s="131"/>
    </row>
    <row r="953" spans="11:13" x14ac:dyDescent="0.25">
      <c r="K953" s="131"/>
      <c r="L953" s="132"/>
      <c r="M953" s="131"/>
    </row>
    <row r="954" spans="11:13" x14ac:dyDescent="0.25">
      <c r="K954" s="131"/>
      <c r="L954" s="132"/>
      <c r="M954" s="131"/>
    </row>
    <row r="955" spans="11:13" x14ac:dyDescent="0.25">
      <c r="K955" s="131"/>
      <c r="L955" s="132"/>
      <c r="M955" s="131"/>
    </row>
    <row r="956" spans="11:13" x14ac:dyDescent="0.25">
      <c r="K956" s="131"/>
      <c r="L956" s="132"/>
      <c r="M956" s="131"/>
    </row>
    <row r="957" spans="11:13" x14ac:dyDescent="0.25">
      <c r="K957" s="131"/>
      <c r="L957" s="132"/>
      <c r="M957" s="131"/>
    </row>
    <row r="958" spans="11:13" x14ac:dyDescent="0.25">
      <c r="K958" s="131"/>
      <c r="L958" s="132"/>
      <c r="M958" s="131"/>
    </row>
    <row r="959" spans="11:13" x14ac:dyDescent="0.25">
      <c r="K959" s="131"/>
      <c r="L959" s="132"/>
      <c r="M959" s="131"/>
    </row>
    <row r="960" spans="11:13" x14ac:dyDescent="0.25">
      <c r="K960" s="131"/>
      <c r="L960" s="132"/>
      <c r="M960" s="131"/>
    </row>
    <row r="961" spans="11:13" x14ac:dyDescent="0.25">
      <c r="K961" s="131"/>
      <c r="L961" s="132"/>
      <c r="M961" s="131"/>
    </row>
    <row r="962" spans="11:13" x14ac:dyDescent="0.25">
      <c r="K962" s="131"/>
      <c r="L962" s="132"/>
      <c r="M962" s="131"/>
    </row>
    <row r="963" spans="11:13" x14ac:dyDescent="0.25">
      <c r="K963" s="131"/>
      <c r="L963" s="132"/>
      <c r="M963" s="131"/>
    </row>
    <row r="964" spans="11:13" x14ac:dyDescent="0.25">
      <c r="K964" s="131"/>
      <c r="L964" s="132"/>
      <c r="M964" s="131"/>
    </row>
    <row r="965" spans="11:13" x14ac:dyDescent="0.25">
      <c r="K965" s="131"/>
      <c r="L965" s="132"/>
      <c r="M965" s="131"/>
    </row>
    <row r="966" spans="11:13" x14ac:dyDescent="0.25">
      <c r="K966" s="131"/>
      <c r="L966" s="132"/>
      <c r="M966" s="131"/>
    </row>
    <row r="967" spans="11:13" x14ac:dyDescent="0.25">
      <c r="K967" s="131"/>
      <c r="L967" s="132"/>
      <c r="M967" s="131"/>
    </row>
    <row r="968" spans="11:13" x14ac:dyDescent="0.25">
      <c r="K968" s="131"/>
      <c r="L968" s="132"/>
      <c r="M968" s="131"/>
    </row>
    <row r="969" spans="11:13" x14ac:dyDescent="0.25">
      <c r="K969" s="131"/>
      <c r="L969" s="132"/>
      <c r="M969" s="131"/>
    </row>
    <row r="970" spans="11:13" x14ac:dyDescent="0.25">
      <c r="K970" s="131"/>
      <c r="L970" s="132"/>
      <c r="M970" s="131"/>
    </row>
    <row r="971" spans="11:13" x14ac:dyDescent="0.25">
      <c r="K971" s="131"/>
      <c r="L971" s="132"/>
      <c r="M971" s="131"/>
    </row>
    <row r="972" spans="11:13" x14ac:dyDescent="0.25">
      <c r="K972" s="131"/>
      <c r="L972" s="132"/>
      <c r="M972" s="131"/>
    </row>
    <row r="973" spans="11:13" x14ac:dyDescent="0.25">
      <c r="K973" s="131"/>
      <c r="L973" s="132"/>
      <c r="M973" s="131"/>
    </row>
    <row r="974" spans="11:13" x14ac:dyDescent="0.25">
      <c r="K974" s="131"/>
      <c r="L974" s="132"/>
      <c r="M974" s="131"/>
    </row>
    <row r="975" spans="11:13" x14ac:dyDescent="0.25">
      <c r="K975" s="131"/>
      <c r="L975" s="132"/>
      <c r="M975" s="131"/>
    </row>
    <row r="976" spans="11:13" x14ac:dyDescent="0.25">
      <c r="K976" s="131"/>
      <c r="L976" s="132"/>
      <c r="M976" s="131"/>
    </row>
    <row r="977" spans="11:13" x14ac:dyDescent="0.25">
      <c r="K977" s="131"/>
      <c r="L977" s="132"/>
      <c r="M977" s="131"/>
    </row>
    <row r="978" spans="11:13" x14ac:dyDescent="0.25">
      <c r="K978" s="131"/>
      <c r="L978" s="132"/>
      <c r="M978" s="131"/>
    </row>
    <row r="979" spans="11:13" x14ac:dyDescent="0.25">
      <c r="K979" s="131"/>
      <c r="L979" s="132"/>
      <c r="M979" s="131"/>
    </row>
    <row r="980" spans="11:13" x14ac:dyDescent="0.25">
      <c r="K980" s="131"/>
      <c r="L980" s="132"/>
      <c r="M980" s="131"/>
    </row>
    <row r="981" spans="11:13" x14ac:dyDescent="0.25">
      <c r="K981" s="131"/>
      <c r="L981" s="132"/>
      <c r="M981" s="131"/>
    </row>
    <row r="982" spans="11:13" x14ac:dyDescent="0.25">
      <c r="K982" s="131"/>
      <c r="L982" s="132"/>
      <c r="M982" s="131"/>
    </row>
    <row r="983" spans="11:13" x14ac:dyDescent="0.25">
      <c r="K983" s="131"/>
      <c r="L983" s="132"/>
      <c r="M983" s="131"/>
    </row>
    <row r="984" spans="11:13" x14ac:dyDescent="0.25">
      <c r="K984" s="131"/>
      <c r="L984" s="132"/>
      <c r="M984" s="131"/>
    </row>
    <row r="985" spans="11:13" x14ac:dyDescent="0.25">
      <c r="K985" s="131"/>
      <c r="L985" s="132"/>
      <c r="M985" s="131"/>
    </row>
    <row r="986" spans="11:13" x14ac:dyDescent="0.25">
      <c r="K986" s="131"/>
      <c r="L986" s="132"/>
      <c r="M986" s="131"/>
    </row>
    <row r="987" spans="11:13" x14ac:dyDescent="0.25">
      <c r="K987" s="131"/>
      <c r="L987" s="132"/>
      <c r="M987" s="131"/>
    </row>
    <row r="988" spans="11:13" x14ac:dyDescent="0.25">
      <c r="K988" s="131"/>
      <c r="L988" s="132"/>
      <c r="M988" s="131"/>
    </row>
    <row r="989" spans="11:13" x14ac:dyDescent="0.25">
      <c r="K989" s="131"/>
      <c r="L989" s="132"/>
      <c r="M989" s="131"/>
    </row>
    <row r="990" spans="11:13" x14ac:dyDescent="0.25">
      <c r="K990" s="131"/>
      <c r="L990" s="132"/>
      <c r="M990" s="131"/>
    </row>
    <row r="991" spans="11:13" x14ac:dyDescent="0.25">
      <c r="K991" s="131"/>
      <c r="L991" s="132"/>
      <c r="M991" s="131"/>
    </row>
    <row r="992" spans="11:13" x14ac:dyDescent="0.25">
      <c r="K992" s="131"/>
      <c r="L992" s="132"/>
      <c r="M992" s="131"/>
    </row>
    <row r="993" spans="11:13" x14ac:dyDescent="0.25">
      <c r="K993" s="131"/>
      <c r="L993" s="132"/>
      <c r="M993" s="131"/>
    </row>
    <row r="994" spans="11:13" x14ac:dyDescent="0.25">
      <c r="K994" s="131"/>
      <c r="L994" s="132"/>
      <c r="M994" s="131"/>
    </row>
    <row r="995" spans="11:13" x14ac:dyDescent="0.25">
      <c r="K995" s="131"/>
      <c r="L995" s="132"/>
      <c r="M995" s="131"/>
    </row>
    <row r="996" spans="11:13" x14ac:dyDescent="0.25">
      <c r="K996" s="131"/>
      <c r="L996" s="132"/>
      <c r="M996" s="131"/>
    </row>
    <row r="997" spans="11:13" x14ac:dyDescent="0.25">
      <c r="K997" s="131"/>
      <c r="L997" s="132"/>
      <c r="M997" s="131"/>
    </row>
    <row r="998" spans="11:13" x14ac:dyDescent="0.25">
      <c r="K998" s="131"/>
      <c r="L998" s="132"/>
      <c r="M998" s="131"/>
    </row>
    <row r="999" spans="11:13" x14ac:dyDescent="0.25">
      <c r="K999" s="131"/>
      <c r="L999" s="132"/>
      <c r="M999" s="131"/>
    </row>
    <row r="1000" spans="11:13" x14ac:dyDescent="0.25">
      <c r="K1000" s="131"/>
      <c r="L1000" s="132"/>
      <c r="M1000" s="131"/>
    </row>
    <row r="1001" spans="11:13" x14ac:dyDescent="0.25">
      <c r="K1001" s="131"/>
      <c r="L1001" s="132"/>
      <c r="M1001" s="131"/>
    </row>
    <row r="1002" spans="11:13" x14ac:dyDescent="0.25">
      <c r="K1002" s="131"/>
      <c r="L1002" s="132"/>
      <c r="M1002" s="131"/>
    </row>
    <row r="1003" spans="11:13" x14ac:dyDescent="0.25">
      <c r="K1003" s="131"/>
      <c r="L1003" s="132"/>
      <c r="M1003" s="131"/>
    </row>
    <row r="1004" spans="11:13" x14ac:dyDescent="0.25">
      <c r="K1004" s="131"/>
      <c r="L1004" s="132"/>
      <c r="M1004" s="131"/>
    </row>
    <row r="1005" spans="11:13" x14ac:dyDescent="0.25">
      <c r="K1005" s="131"/>
      <c r="L1005" s="132"/>
      <c r="M1005" s="131"/>
    </row>
    <row r="1006" spans="11:13" x14ac:dyDescent="0.25">
      <c r="K1006" s="131"/>
      <c r="L1006" s="132"/>
      <c r="M1006" s="131"/>
    </row>
    <row r="1007" spans="11:13" x14ac:dyDescent="0.25">
      <c r="K1007" s="131"/>
      <c r="L1007" s="132"/>
      <c r="M1007" s="131"/>
    </row>
    <row r="1008" spans="11:13" x14ac:dyDescent="0.25">
      <c r="K1008" s="131"/>
      <c r="L1008" s="132"/>
      <c r="M1008" s="131"/>
    </row>
    <row r="1009" spans="11:13" x14ac:dyDescent="0.25">
      <c r="K1009" s="131"/>
      <c r="L1009" s="132"/>
      <c r="M1009" s="131"/>
    </row>
    <row r="1010" spans="11:13" x14ac:dyDescent="0.25">
      <c r="K1010" s="131"/>
      <c r="L1010" s="132"/>
      <c r="M1010" s="131"/>
    </row>
    <row r="1011" spans="11:13" x14ac:dyDescent="0.25">
      <c r="K1011" s="131"/>
      <c r="L1011" s="132"/>
      <c r="M1011" s="131"/>
    </row>
    <row r="1012" spans="11:13" x14ac:dyDescent="0.25">
      <c r="K1012" s="131"/>
      <c r="L1012" s="132"/>
      <c r="M1012" s="131"/>
    </row>
    <row r="1013" spans="11:13" x14ac:dyDescent="0.25">
      <c r="K1013" s="131"/>
      <c r="L1013" s="132"/>
      <c r="M1013" s="131"/>
    </row>
    <row r="1014" spans="11:13" x14ac:dyDescent="0.25">
      <c r="K1014" s="131"/>
      <c r="L1014" s="132"/>
      <c r="M1014" s="131"/>
    </row>
    <row r="1015" spans="11:13" x14ac:dyDescent="0.25">
      <c r="K1015" s="131"/>
      <c r="L1015" s="132"/>
      <c r="M1015" s="131"/>
    </row>
    <row r="1016" spans="11:13" x14ac:dyDescent="0.25">
      <c r="K1016" s="131"/>
      <c r="L1016" s="132"/>
      <c r="M1016" s="131"/>
    </row>
    <row r="1017" spans="11:13" x14ac:dyDescent="0.25">
      <c r="K1017" s="131"/>
      <c r="L1017" s="132"/>
      <c r="M1017" s="131"/>
    </row>
    <row r="1018" spans="11:13" x14ac:dyDescent="0.25">
      <c r="K1018" s="131"/>
      <c r="L1018" s="132"/>
      <c r="M1018" s="131"/>
    </row>
    <row r="1019" spans="11:13" x14ac:dyDescent="0.25">
      <c r="K1019" s="131"/>
      <c r="L1019" s="132"/>
      <c r="M1019" s="131"/>
    </row>
    <row r="1020" spans="11:13" x14ac:dyDescent="0.25">
      <c r="K1020" s="131"/>
      <c r="L1020" s="132"/>
      <c r="M1020" s="131"/>
    </row>
    <row r="1021" spans="11:13" x14ac:dyDescent="0.25">
      <c r="K1021" s="131"/>
      <c r="L1021" s="132"/>
      <c r="M1021" s="131"/>
    </row>
    <row r="1022" spans="11:13" x14ac:dyDescent="0.25">
      <c r="K1022" s="131"/>
      <c r="L1022" s="132"/>
      <c r="M1022" s="131"/>
    </row>
    <row r="1023" spans="11:13" x14ac:dyDescent="0.25">
      <c r="K1023" s="131"/>
      <c r="L1023" s="132"/>
      <c r="M1023" s="131"/>
    </row>
    <row r="1024" spans="11:13" x14ac:dyDescent="0.25">
      <c r="K1024" s="131"/>
      <c r="L1024" s="132"/>
      <c r="M1024" s="131"/>
    </row>
    <row r="1025" spans="11:13" x14ac:dyDescent="0.25">
      <c r="K1025" s="131"/>
      <c r="L1025" s="132"/>
      <c r="M1025" s="131"/>
    </row>
    <row r="1026" spans="11:13" x14ac:dyDescent="0.25">
      <c r="K1026" s="131"/>
      <c r="L1026" s="132"/>
      <c r="M1026" s="131"/>
    </row>
    <row r="1027" spans="11:13" x14ac:dyDescent="0.25">
      <c r="K1027" s="131"/>
      <c r="L1027" s="132"/>
      <c r="M1027" s="131"/>
    </row>
    <row r="1028" spans="11:13" x14ac:dyDescent="0.25">
      <c r="K1028" s="131"/>
      <c r="L1028" s="132"/>
      <c r="M1028" s="131"/>
    </row>
    <row r="1029" spans="11:13" x14ac:dyDescent="0.25">
      <c r="K1029" s="131"/>
      <c r="L1029" s="132"/>
      <c r="M1029" s="131"/>
    </row>
    <row r="1030" spans="11:13" x14ac:dyDescent="0.25">
      <c r="K1030" s="131"/>
      <c r="L1030" s="132"/>
      <c r="M1030" s="131"/>
    </row>
    <row r="1031" spans="11:13" x14ac:dyDescent="0.25">
      <c r="K1031" s="131"/>
      <c r="L1031" s="132"/>
      <c r="M1031" s="131"/>
    </row>
    <row r="1032" spans="11:13" x14ac:dyDescent="0.25">
      <c r="K1032" s="131"/>
      <c r="L1032" s="132"/>
      <c r="M1032" s="131"/>
    </row>
    <row r="1033" spans="11:13" x14ac:dyDescent="0.25">
      <c r="K1033" s="131"/>
      <c r="L1033" s="132"/>
      <c r="M1033" s="131"/>
    </row>
    <row r="1034" spans="11:13" x14ac:dyDescent="0.25">
      <c r="K1034" s="131"/>
      <c r="L1034" s="132"/>
      <c r="M1034" s="131"/>
    </row>
    <row r="1035" spans="11:13" x14ac:dyDescent="0.25">
      <c r="K1035" s="131"/>
      <c r="L1035" s="132"/>
      <c r="M1035" s="131"/>
    </row>
    <row r="1036" spans="11:13" x14ac:dyDescent="0.25">
      <c r="K1036" s="131"/>
      <c r="L1036" s="132"/>
      <c r="M1036" s="131"/>
    </row>
    <row r="1037" spans="11:13" x14ac:dyDescent="0.25">
      <c r="K1037" s="131"/>
      <c r="L1037" s="132"/>
      <c r="M1037" s="131"/>
    </row>
    <row r="1038" spans="11:13" x14ac:dyDescent="0.25">
      <c r="K1038" s="131"/>
      <c r="L1038" s="132"/>
      <c r="M1038" s="131"/>
    </row>
    <row r="1039" spans="11:13" x14ac:dyDescent="0.25">
      <c r="K1039" s="131"/>
      <c r="L1039" s="132"/>
      <c r="M1039" s="131"/>
    </row>
    <row r="1040" spans="11:13" x14ac:dyDescent="0.25">
      <c r="K1040" s="131"/>
      <c r="L1040" s="132"/>
      <c r="M1040" s="131"/>
    </row>
    <row r="1041" spans="11:13" x14ac:dyDescent="0.25">
      <c r="K1041" s="131"/>
      <c r="L1041" s="132"/>
      <c r="M1041" s="131"/>
    </row>
    <row r="1042" spans="11:13" x14ac:dyDescent="0.25">
      <c r="K1042" s="131"/>
      <c r="L1042" s="132"/>
      <c r="M1042" s="131"/>
    </row>
    <row r="1043" spans="11:13" x14ac:dyDescent="0.25">
      <c r="K1043" s="131"/>
      <c r="L1043" s="132"/>
      <c r="M1043" s="131"/>
    </row>
    <row r="1044" spans="11:13" x14ac:dyDescent="0.25">
      <c r="K1044" s="131"/>
      <c r="L1044" s="132"/>
      <c r="M1044" s="131"/>
    </row>
    <row r="1045" spans="11:13" x14ac:dyDescent="0.25">
      <c r="K1045" s="131"/>
      <c r="L1045" s="132"/>
      <c r="M1045" s="131"/>
    </row>
    <row r="1046" spans="11:13" x14ac:dyDescent="0.25">
      <c r="K1046" s="131"/>
      <c r="L1046" s="132"/>
      <c r="M1046" s="131"/>
    </row>
    <row r="1047" spans="11:13" x14ac:dyDescent="0.25">
      <c r="K1047" s="131"/>
      <c r="L1047" s="132"/>
      <c r="M1047" s="131"/>
    </row>
    <row r="1048" spans="11:13" x14ac:dyDescent="0.25">
      <c r="K1048" s="131"/>
      <c r="L1048" s="132"/>
      <c r="M1048" s="131"/>
    </row>
    <row r="1049" spans="11:13" x14ac:dyDescent="0.25">
      <c r="K1049" s="131"/>
      <c r="L1049" s="132"/>
      <c r="M1049" s="131"/>
    </row>
    <row r="1050" spans="11:13" x14ac:dyDescent="0.25">
      <c r="K1050" s="131"/>
      <c r="L1050" s="132"/>
      <c r="M1050" s="131"/>
    </row>
    <row r="1051" spans="11:13" x14ac:dyDescent="0.25">
      <c r="K1051" s="131"/>
      <c r="L1051" s="132"/>
      <c r="M1051" s="131"/>
    </row>
    <row r="1052" spans="11:13" x14ac:dyDescent="0.25">
      <c r="K1052" s="131"/>
      <c r="L1052" s="132"/>
      <c r="M1052" s="131"/>
    </row>
    <row r="1053" spans="11:13" x14ac:dyDescent="0.25">
      <c r="K1053" s="131"/>
      <c r="L1053" s="132"/>
      <c r="M1053" s="131"/>
    </row>
    <row r="1054" spans="11:13" x14ac:dyDescent="0.25">
      <c r="K1054" s="131"/>
      <c r="L1054" s="132"/>
      <c r="M1054" s="131"/>
    </row>
    <row r="1055" spans="11:13" x14ac:dyDescent="0.25">
      <c r="K1055" s="131"/>
      <c r="L1055" s="132"/>
      <c r="M1055" s="131"/>
    </row>
    <row r="1056" spans="11:13" x14ac:dyDescent="0.25">
      <c r="K1056" s="131"/>
      <c r="L1056" s="132"/>
      <c r="M1056" s="131"/>
    </row>
    <row r="1057" spans="11:13" x14ac:dyDescent="0.25">
      <c r="K1057" s="131"/>
      <c r="L1057" s="132"/>
      <c r="M1057" s="131"/>
    </row>
    <row r="1058" spans="11:13" x14ac:dyDescent="0.25">
      <c r="K1058" s="131"/>
      <c r="L1058" s="132"/>
      <c r="M1058" s="131"/>
    </row>
    <row r="1059" spans="11:13" x14ac:dyDescent="0.25">
      <c r="K1059" s="131"/>
      <c r="L1059" s="132"/>
      <c r="M1059" s="131"/>
    </row>
    <row r="1060" spans="11:13" x14ac:dyDescent="0.25">
      <c r="K1060" s="131"/>
      <c r="L1060" s="132"/>
      <c r="M1060" s="131"/>
    </row>
    <row r="1061" spans="11:13" x14ac:dyDescent="0.25">
      <c r="K1061" s="131"/>
      <c r="L1061" s="132"/>
      <c r="M1061" s="131"/>
    </row>
    <row r="1062" spans="11:13" x14ac:dyDescent="0.25">
      <c r="K1062" s="131"/>
      <c r="L1062" s="132"/>
      <c r="M1062" s="131"/>
    </row>
    <row r="1063" spans="11:13" x14ac:dyDescent="0.25">
      <c r="K1063" s="131"/>
      <c r="L1063" s="132"/>
      <c r="M1063" s="131"/>
    </row>
    <row r="1064" spans="11:13" x14ac:dyDescent="0.25">
      <c r="K1064" s="131"/>
      <c r="L1064" s="132"/>
      <c r="M1064" s="131"/>
    </row>
    <row r="1065" spans="11:13" x14ac:dyDescent="0.25">
      <c r="K1065" s="131"/>
      <c r="L1065" s="132"/>
      <c r="M1065" s="131"/>
    </row>
    <row r="1066" spans="11:13" x14ac:dyDescent="0.25">
      <c r="K1066" s="131"/>
      <c r="L1066" s="132"/>
      <c r="M1066" s="131"/>
    </row>
    <row r="1067" spans="11:13" x14ac:dyDescent="0.25">
      <c r="K1067" s="131"/>
      <c r="L1067" s="132"/>
      <c r="M1067" s="131"/>
    </row>
    <row r="1068" spans="11:13" x14ac:dyDescent="0.25">
      <c r="K1068" s="131"/>
      <c r="L1068" s="132"/>
      <c r="M1068" s="131"/>
    </row>
    <row r="1069" spans="11:13" x14ac:dyDescent="0.25">
      <c r="K1069" s="131"/>
      <c r="L1069" s="132"/>
      <c r="M1069" s="131"/>
    </row>
    <row r="1070" spans="11:13" x14ac:dyDescent="0.25">
      <c r="K1070" s="131"/>
      <c r="L1070" s="132"/>
      <c r="M1070" s="131"/>
    </row>
    <row r="1071" spans="11:13" x14ac:dyDescent="0.25">
      <c r="K1071" s="131"/>
      <c r="L1071" s="132"/>
      <c r="M1071" s="131"/>
    </row>
    <row r="1072" spans="11:13" x14ac:dyDescent="0.25">
      <c r="K1072" s="131"/>
      <c r="L1072" s="132"/>
      <c r="M1072" s="131"/>
    </row>
    <row r="1073" spans="11:13" x14ac:dyDescent="0.25">
      <c r="K1073" s="131"/>
      <c r="L1073" s="132"/>
      <c r="M1073" s="131"/>
    </row>
    <row r="1074" spans="11:13" x14ac:dyDescent="0.25">
      <c r="K1074" s="131"/>
      <c r="L1074" s="132"/>
      <c r="M1074" s="131"/>
    </row>
    <row r="1075" spans="11:13" x14ac:dyDescent="0.25">
      <c r="K1075" s="131"/>
      <c r="L1075" s="132"/>
      <c r="M1075" s="131"/>
    </row>
    <row r="1076" spans="11:13" x14ac:dyDescent="0.25">
      <c r="K1076" s="131"/>
      <c r="L1076" s="132"/>
      <c r="M1076" s="131"/>
    </row>
    <row r="1077" spans="11:13" x14ac:dyDescent="0.25">
      <c r="K1077" s="131"/>
      <c r="L1077" s="132"/>
      <c r="M1077" s="131"/>
    </row>
    <row r="1078" spans="11:13" x14ac:dyDescent="0.25">
      <c r="K1078" s="131"/>
      <c r="L1078" s="132"/>
      <c r="M1078" s="131"/>
    </row>
    <row r="1079" spans="11:13" x14ac:dyDescent="0.25">
      <c r="K1079" s="131"/>
      <c r="L1079" s="132"/>
      <c r="M1079" s="131"/>
    </row>
    <row r="1080" spans="11:13" x14ac:dyDescent="0.25">
      <c r="K1080" s="131"/>
      <c r="L1080" s="132"/>
      <c r="M1080" s="131"/>
    </row>
    <row r="1081" spans="11:13" x14ac:dyDescent="0.25">
      <c r="K1081" s="131"/>
      <c r="L1081" s="132"/>
      <c r="M1081" s="131"/>
    </row>
    <row r="1082" spans="11:13" x14ac:dyDescent="0.25">
      <c r="K1082" s="131"/>
      <c r="L1082" s="132"/>
      <c r="M1082" s="131"/>
    </row>
    <row r="1083" spans="11:13" x14ac:dyDescent="0.25">
      <c r="K1083" s="131"/>
      <c r="L1083" s="132"/>
      <c r="M1083" s="131"/>
    </row>
    <row r="1084" spans="11:13" x14ac:dyDescent="0.25">
      <c r="K1084" s="131"/>
      <c r="L1084" s="132"/>
      <c r="M1084" s="131"/>
    </row>
    <row r="1085" spans="11:13" x14ac:dyDescent="0.25">
      <c r="K1085" s="131"/>
      <c r="L1085" s="132"/>
      <c r="M1085" s="131"/>
    </row>
    <row r="1086" spans="11:13" x14ac:dyDescent="0.25">
      <c r="K1086" s="131"/>
      <c r="L1086" s="132"/>
      <c r="M1086" s="131"/>
    </row>
    <row r="1087" spans="11:13" x14ac:dyDescent="0.25">
      <c r="K1087" s="131"/>
      <c r="L1087" s="132"/>
      <c r="M1087" s="131"/>
    </row>
    <row r="1088" spans="11:13" x14ac:dyDescent="0.25">
      <c r="K1088" s="131"/>
      <c r="L1088" s="132"/>
      <c r="M1088" s="131"/>
    </row>
    <row r="1089" spans="11:13" x14ac:dyDescent="0.25">
      <c r="K1089" s="131"/>
      <c r="L1089" s="132"/>
      <c r="M1089" s="131"/>
    </row>
    <row r="1090" spans="11:13" x14ac:dyDescent="0.25">
      <c r="K1090" s="131"/>
      <c r="L1090" s="132"/>
      <c r="M1090" s="131"/>
    </row>
    <row r="1091" spans="11:13" x14ac:dyDescent="0.25">
      <c r="K1091" s="131"/>
      <c r="L1091" s="132"/>
      <c r="M1091" s="131"/>
    </row>
    <row r="1092" spans="11:13" x14ac:dyDescent="0.25">
      <c r="K1092" s="131"/>
      <c r="L1092" s="132"/>
      <c r="M1092" s="131"/>
    </row>
    <row r="1093" spans="11:13" x14ac:dyDescent="0.25">
      <c r="K1093" s="131"/>
      <c r="L1093" s="132"/>
      <c r="M1093" s="131"/>
    </row>
    <row r="1094" spans="11:13" x14ac:dyDescent="0.25">
      <c r="K1094" s="131"/>
      <c r="L1094" s="132"/>
      <c r="M1094" s="131"/>
    </row>
    <row r="1095" spans="11:13" x14ac:dyDescent="0.25">
      <c r="K1095" s="131"/>
      <c r="L1095" s="132"/>
      <c r="M1095" s="131"/>
    </row>
    <row r="1096" spans="11:13" x14ac:dyDescent="0.25">
      <c r="K1096" s="131"/>
      <c r="L1096" s="132"/>
      <c r="M1096" s="131"/>
    </row>
    <row r="1097" spans="11:13" x14ac:dyDescent="0.25">
      <c r="K1097" s="131"/>
      <c r="L1097" s="132"/>
      <c r="M1097" s="131"/>
    </row>
    <row r="1098" spans="11:13" x14ac:dyDescent="0.25">
      <c r="K1098" s="131"/>
      <c r="L1098" s="132"/>
      <c r="M1098" s="131"/>
    </row>
    <row r="1099" spans="11:13" x14ac:dyDescent="0.25">
      <c r="K1099" s="131"/>
      <c r="L1099" s="132"/>
      <c r="M1099" s="131"/>
    </row>
    <row r="1100" spans="11:13" x14ac:dyDescent="0.25">
      <c r="K1100" s="131"/>
      <c r="L1100" s="132"/>
      <c r="M1100" s="131"/>
    </row>
    <row r="1101" spans="11:13" x14ac:dyDescent="0.25">
      <c r="K1101" s="131"/>
      <c r="L1101" s="132"/>
      <c r="M1101" s="131"/>
    </row>
    <row r="1102" spans="11:13" x14ac:dyDescent="0.25">
      <c r="K1102" s="131"/>
      <c r="L1102" s="132"/>
      <c r="M1102" s="131"/>
    </row>
    <row r="1103" spans="11:13" x14ac:dyDescent="0.25">
      <c r="K1103" s="131"/>
      <c r="L1103" s="132"/>
      <c r="M1103" s="131"/>
    </row>
    <row r="1104" spans="11:13" x14ac:dyDescent="0.25">
      <c r="K1104" s="131"/>
      <c r="L1104" s="132"/>
      <c r="M1104" s="131"/>
    </row>
    <row r="1105" spans="11:13" x14ac:dyDescent="0.25">
      <c r="K1105" s="131"/>
      <c r="L1105" s="132"/>
      <c r="M1105" s="131"/>
    </row>
    <row r="1106" spans="11:13" x14ac:dyDescent="0.25">
      <c r="K1106" s="131"/>
      <c r="L1106" s="132"/>
      <c r="M1106" s="131"/>
    </row>
    <row r="1107" spans="11:13" x14ac:dyDescent="0.25">
      <c r="K1107" s="131"/>
      <c r="L1107" s="132"/>
      <c r="M1107" s="131"/>
    </row>
    <row r="1108" spans="11:13" x14ac:dyDescent="0.25">
      <c r="K1108" s="131"/>
      <c r="L1108" s="132"/>
      <c r="M1108" s="131"/>
    </row>
    <row r="1109" spans="11:13" x14ac:dyDescent="0.25">
      <c r="K1109" s="131"/>
      <c r="L1109" s="132"/>
      <c r="M1109" s="131"/>
    </row>
    <row r="1110" spans="11:13" x14ac:dyDescent="0.25">
      <c r="K1110" s="131"/>
      <c r="L1110" s="132"/>
      <c r="M1110" s="131"/>
    </row>
    <row r="1111" spans="11:13" x14ac:dyDescent="0.25">
      <c r="K1111" s="131"/>
      <c r="L1111" s="132"/>
      <c r="M1111" s="131"/>
    </row>
    <row r="1112" spans="11:13" x14ac:dyDescent="0.25">
      <c r="K1112" s="131"/>
      <c r="L1112" s="132"/>
      <c r="M1112" s="131"/>
    </row>
    <row r="1113" spans="11:13" x14ac:dyDescent="0.25">
      <c r="K1113" s="131"/>
      <c r="L1113" s="132"/>
      <c r="M1113" s="131"/>
    </row>
    <row r="1114" spans="11:13" x14ac:dyDescent="0.25">
      <c r="K1114" s="131"/>
      <c r="L1114" s="132"/>
      <c r="M1114" s="131"/>
    </row>
    <row r="1115" spans="11:13" x14ac:dyDescent="0.25">
      <c r="K1115" s="131"/>
      <c r="L1115" s="132"/>
      <c r="M1115" s="131"/>
    </row>
    <row r="1116" spans="11:13" x14ac:dyDescent="0.25">
      <c r="K1116" s="131"/>
      <c r="L1116" s="132"/>
      <c r="M1116" s="131"/>
    </row>
    <row r="1117" spans="11:13" x14ac:dyDescent="0.25">
      <c r="K1117" s="131"/>
      <c r="L1117" s="132"/>
      <c r="M1117" s="131"/>
    </row>
    <row r="1118" spans="11:13" x14ac:dyDescent="0.25">
      <c r="K1118" s="131"/>
      <c r="L1118" s="132"/>
      <c r="M1118" s="131"/>
    </row>
    <row r="1119" spans="11:13" x14ac:dyDescent="0.25">
      <c r="K1119" s="131"/>
      <c r="L1119" s="132"/>
      <c r="M1119" s="131"/>
    </row>
    <row r="1120" spans="11:13" x14ac:dyDescent="0.25">
      <c r="K1120" s="131"/>
      <c r="L1120" s="132"/>
      <c r="M1120" s="131"/>
    </row>
    <row r="1121" spans="11:13" x14ac:dyDescent="0.25">
      <c r="K1121" s="131"/>
      <c r="L1121" s="132"/>
      <c r="M1121" s="131"/>
    </row>
    <row r="1122" spans="11:13" x14ac:dyDescent="0.25">
      <c r="K1122" s="131"/>
      <c r="L1122" s="132"/>
      <c r="M1122" s="131"/>
    </row>
    <row r="1123" spans="11:13" x14ac:dyDescent="0.25">
      <c r="K1123" s="131"/>
      <c r="L1123" s="132"/>
      <c r="M1123" s="131"/>
    </row>
    <row r="1124" spans="11:13" x14ac:dyDescent="0.25">
      <c r="K1124" s="131"/>
      <c r="L1124" s="132"/>
      <c r="M1124" s="131"/>
    </row>
    <row r="1125" spans="11:13" x14ac:dyDescent="0.25">
      <c r="K1125" s="131"/>
      <c r="L1125" s="132"/>
      <c r="M1125" s="131"/>
    </row>
    <row r="1126" spans="11:13" x14ac:dyDescent="0.25">
      <c r="K1126" s="131"/>
      <c r="L1126" s="132"/>
      <c r="M1126" s="131"/>
    </row>
    <row r="1127" spans="11:13" x14ac:dyDescent="0.25">
      <c r="K1127" s="131"/>
      <c r="L1127" s="132"/>
      <c r="M1127" s="131"/>
    </row>
    <row r="1128" spans="11:13" x14ac:dyDescent="0.25">
      <c r="K1128" s="131"/>
      <c r="L1128" s="132"/>
      <c r="M1128" s="131"/>
    </row>
    <row r="1129" spans="11:13" x14ac:dyDescent="0.25">
      <c r="K1129" s="131"/>
      <c r="L1129" s="132"/>
      <c r="M1129" s="131"/>
    </row>
    <row r="1130" spans="11:13" x14ac:dyDescent="0.25">
      <c r="K1130" s="131"/>
      <c r="L1130" s="132"/>
      <c r="M1130" s="131"/>
    </row>
    <row r="1131" spans="11:13" x14ac:dyDescent="0.25">
      <c r="K1131" s="131"/>
      <c r="L1131" s="132"/>
      <c r="M1131" s="131"/>
    </row>
    <row r="1132" spans="11:13" x14ac:dyDescent="0.25">
      <c r="K1132" s="131"/>
      <c r="L1132" s="132"/>
      <c r="M1132" s="131"/>
    </row>
    <row r="1133" spans="11:13" x14ac:dyDescent="0.25">
      <c r="K1133" s="131"/>
      <c r="L1133" s="132"/>
      <c r="M1133" s="131"/>
    </row>
    <row r="1134" spans="11:13" x14ac:dyDescent="0.25">
      <c r="K1134" s="131"/>
      <c r="L1134" s="132"/>
      <c r="M1134" s="131"/>
    </row>
    <row r="1135" spans="11:13" x14ac:dyDescent="0.25">
      <c r="K1135" s="131"/>
      <c r="L1135" s="132"/>
      <c r="M1135" s="131"/>
    </row>
    <row r="1136" spans="11:13" x14ac:dyDescent="0.25">
      <c r="K1136" s="131"/>
      <c r="L1136" s="132"/>
      <c r="M1136" s="131"/>
    </row>
    <row r="1137" spans="11:13" x14ac:dyDescent="0.25">
      <c r="K1137" s="131"/>
      <c r="L1137" s="132"/>
      <c r="M1137" s="131"/>
    </row>
    <row r="1138" spans="11:13" x14ac:dyDescent="0.25">
      <c r="K1138" s="131"/>
      <c r="L1138" s="132"/>
      <c r="M1138" s="131"/>
    </row>
    <row r="1139" spans="11:13" x14ac:dyDescent="0.25">
      <c r="K1139" s="131"/>
      <c r="L1139" s="132"/>
      <c r="M1139" s="131"/>
    </row>
    <row r="1140" spans="11:13" x14ac:dyDescent="0.25">
      <c r="K1140" s="131"/>
      <c r="L1140" s="132"/>
      <c r="M1140" s="131"/>
    </row>
    <row r="1141" spans="11:13" x14ac:dyDescent="0.25">
      <c r="K1141" s="131"/>
      <c r="L1141" s="132"/>
      <c r="M1141" s="131"/>
    </row>
    <row r="1142" spans="11:13" x14ac:dyDescent="0.25">
      <c r="K1142" s="131"/>
      <c r="L1142" s="132"/>
      <c r="M1142" s="131"/>
    </row>
    <row r="1143" spans="11:13" x14ac:dyDescent="0.25">
      <c r="K1143" s="131"/>
      <c r="L1143" s="132"/>
      <c r="M1143" s="131"/>
    </row>
    <row r="1144" spans="11:13" x14ac:dyDescent="0.25">
      <c r="K1144" s="131"/>
      <c r="L1144" s="132"/>
      <c r="M1144" s="131"/>
    </row>
    <row r="1145" spans="11:13" x14ac:dyDescent="0.25">
      <c r="K1145" s="131"/>
      <c r="L1145" s="132"/>
      <c r="M1145" s="131"/>
    </row>
    <row r="1146" spans="11:13" x14ac:dyDescent="0.25">
      <c r="K1146" s="131"/>
      <c r="L1146" s="132"/>
      <c r="M1146" s="131"/>
    </row>
    <row r="1147" spans="11:13" x14ac:dyDescent="0.25">
      <c r="K1147" s="131"/>
      <c r="L1147" s="132"/>
      <c r="M1147" s="131"/>
    </row>
    <row r="1148" spans="11:13" x14ac:dyDescent="0.25">
      <c r="K1148" s="131"/>
      <c r="L1148" s="132"/>
      <c r="M1148" s="131"/>
    </row>
    <row r="1149" spans="11:13" x14ac:dyDescent="0.25">
      <c r="K1149" s="131"/>
      <c r="L1149" s="132"/>
      <c r="M1149" s="131"/>
    </row>
    <row r="1150" spans="11:13" x14ac:dyDescent="0.25">
      <c r="K1150" s="131"/>
      <c r="L1150" s="132"/>
      <c r="M1150" s="131"/>
    </row>
    <row r="1151" spans="11:13" x14ac:dyDescent="0.25">
      <c r="K1151" s="131"/>
      <c r="L1151" s="132"/>
      <c r="M1151" s="131"/>
    </row>
  </sheetData>
  <customSheetViews>
    <customSheetView guid="{7F222B88-8DE7-4209-9261-78C075D2F561}" scale="95" showPageBreaks="1" printArea="1" hiddenRows="1" hiddenColumns="1" view="pageBreakPreview" showRuler="0" topLeftCell="B1">
      <pane ySplit="2" topLeftCell="A15" activePane="bottomLeft" state="frozen"/>
      <selection pane="bottomLeft" activeCell="E12" sqref="E12:E48"/>
      <rowBreaks count="6" manualBreakCount="6">
        <brk id="54" max="11" man="1"/>
        <brk id="113" max="11" man="1"/>
        <brk id="170" max="11" man="1"/>
        <brk id="220" max="11" man="1"/>
        <brk id="282" max="11" man="1"/>
        <brk id="347" max="11" man="1"/>
      </rowBreaks>
      <pageMargins left="0.74803149606299213" right="0.62992125984251968" top="0.70866141732283472" bottom="0.70866141732283472" header="0.51181102362204722" footer="0.51181102362204722"/>
      <pageSetup paperSize="9" scale="65" orientation="portrait" r:id="rId1"/>
      <headerFooter alignWithMargins="0">
        <oddFooter>&amp;C&amp;"Arial Narrow,Regular"Page &amp;P of &amp;N</oddFooter>
      </headerFooter>
    </customSheetView>
  </customSheetViews>
  <mergeCells count="74">
    <mergeCell ref="P363:Q365"/>
    <mergeCell ref="P367:Q367"/>
    <mergeCell ref="F519:M519"/>
    <mergeCell ref="F305:M305"/>
    <mergeCell ref="F258:M258"/>
    <mergeCell ref="F259:M259"/>
    <mergeCell ref="F517:M517"/>
    <mergeCell ref="F514:M514"/>
    <mergeCell ref="F513:M513"/>
    <mergeCell ref="F510:M510"/>
    <mergeCell ref="F512:M512"/>
    <mergeCell ref="F491:M491"/>
    <mergeCell ref="F308:M308"/>
    <mergeCell ref="F483:M483"/>
    <mergeCell ref="F482:M482"/>
    <mergeCell ref="F367:M367"/>
    <mergeCell ref="F454:M454"/>
    <mergeCell ref="F471:M471"/>
    <mergeCell ref="F472:M472"/>
    <mergeCell ref="F188:M188"/>
    <mergeCell ref="F189:M189"/>
    <mergeCell ref="F191:M191"/>
    <mergeCell ref="F243:M243"/>
    <mergeCell ref="D221:N221"/>
    <mergeCell ref="F242:M242"/>
    <mergeCell ref="F204:M204"/>
    <mergeCell ref="F197:M197"/>
    <mergeCell ref="F194:M194"/>
    <mergeCell ref="F200:M200"/>
    <mergeCell ref="F203:M203"/>
    <mergeCell ref="F418:M418"/>
    <mergeCell ref="F365:M365"/>
    <mergeCell ref="F577:M577"/>
    <mergeCell ref="F466:M466"/>
    <mergeCell ref="F269:M269"/>
    <mergeCell ref="F304:M304"/>
    <mergeCell ref="F368:M368"/>
    <mergeCell ref="F397:M397"/>
    <mergeCell ref="F415:M415"/>
    <mergeCell ref="F564:M564"/>
    <mergeCell ref="F387:M387"/>
    <mergeCell ref="F364:M364"/>
    <mergeCell ref="F497:M497"/>
    <mergeCell ref="F492:M492"/>
    <mergeCell ref="F307:M307"/>
    <mergeCell ref="F306:M306"/>
    <mergeCell ref="F515:M515"/>
    <mergeCell ref="F516:M516"/>
    <mergeCell ref="F156:M156"/>
    <mergeCell ref="F24:M24"/>
    <mergeCell ref="F34:M34"/>
    <mergeCell ref="F100:M100"/>
    <mergeCell ref="F128:M128"/>
    <mergeCell ref="F155:M155"/>
    <mergeCell ref="F54:M54"/>
    <mergeCell ref="F55:M55"/>
    <mergeCell ref="F56:M56"/>
    <mergeCell ref="F106:J106"/>
    <mergeCell ref="H1:M1"/>
    <mergeCell ref="H2:M2"/>
    <mergeCell ref="P119:V127"/>
    <mergeCell ref="F120:M120"/>
    <mergeCell ref="F121:M121"/>
    <mergeCell ref="F125:M125"/>
    <mergeCell ref="F126:M126"/>
    <mergeCell ref="F127:M127"/>
    <mergeCell ref="F8:M8"/>
    <mergeCell ref="F9:M9"/>
    <mergeCell ref="F21:M21"/>
    <mergeCell ref="P100:V115"/>
    <mergeCell ref="F111:J111"/>
    <mergeCell ref="F113:J113"/>
    <mergeCell ref="F104:J104"/>
    <mergeCell ref="P33:R34"/>
  </mergeCells>
  <phoneticPr fontId="0" type="noConversion"/>
  <hyperlinks>
    <hyperlink ref="F130" location="'Notes 2 to 23'!A434" display="Contributions" xr:uid="{00000000-0004-0000-0D00-000000000000}"/>
    <hyperlink ref="F90" location="'Notes 2 to 23'!A425" display="Total non-recurrent" xr:uid="{00000000-0004-0000-0D00-000001000000}"/>
    <hyperlink ref="P62" r:id="rId2" xr:uid="{00000000-0004-0000-0D00-000002000000}"/>
    <hyperlink ref="F92" location="'Notes 2 to 23'!A425" display="Total non-recurrent" xr:uid="{51CBA35D-2375-4D50-A453-4FC556A0BE8A}"/>
  </hyperlinks>
  <printOptions horizontalCentered="1"/>
  <pageMargins left="0.31496062992125984" right="0.31496062992125984" top="0.35433070866141736" bottom="0.35433070866141736" header="0.11811023622047245" footer="0.11811023622047245"/>
  <pageSetup paperSize="9" orientation="portrait" r:id="rId3"/>
  <headerFooter alignWithMargins="0">
    <oddFooter>&amp;C&amp;P</oddFooter>
  </headerFooter>
  <rowBreaks count="10" manualBreakCount="10">
    <brk id="122" max="16383" man="1"/>
    <brk id="227" max="16383" man="1"/>
    <brk id="270" max="16383" man="1"/>
    <brk id="424" max="16383" man="1"/>
    <brk id="424" max="16383" man="1"/>
    <brk id="520" max="16383" man="1"/>
    <brk id="565" max="16383" man="1"/>
    <brk id="592" max="12" man="1"/>
    <brk id="662" max="16383" man="1"/>
    <brk id="699" max="16383" man="1"/>
  </rowBreaks>
  <drawing r:id="rId4"/>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FR1127"/>
  <sheetViews>
    <sheetView showGridLines="0" view="pageBreakPreview" zoomScaleNormal="85" zoomScaleSheetLayoutView="100" workbookViewId="0">
      <pane ySplit="2" topLeftCell="A55" activePane="bottomLeft" state="frozen"/>
      <selection pane="bottomLeft" activeCell="A63" sqref="A63"/>
    </sheetView>
  </sheetViews>
  <sheetFormatPr defaultColWidth="9" defaultRowHeight="13.8" x14ac:dyDescent="0.25"/>
  <cols>
    <col min="1" max="1" width="9.69921875" style="1" bestFit="1" customWidth="1"/>
    <col min="2" max="2" width="6" style="2" customWidth="1"/>
    <col min="3" max="3" width="1.69921875" style="1" customWidth="1"/>
    <col min="4" max="4" width="4.3984375" style="1" bestFit="1" customWidth="1"/>
    <col min="5" max="5" width="4.3984375" style="165" bestFit="1" customWidth="1"/>
    <col min="6" max="6" width="4.09765625" style="529" customWidth="1"/>
    <col min="7" max="7" width="7.5" style="529" customWidth="1"/>
    <col min="8" max="8" width="40.69921875" style="1" customWidth="1"/>
    <col min="9" max="9" width="9.3984375" style="1" customWidth="1"/>
    <col min="10" max="10" width="3.19921875" style="11" customWidth="1"/>
    <col min="11" max="11" width="9.3984375" style="1" customWidth="1"/>
    <col min="12" max="12" width="1.19921875" style="1" customWidth="1"/>
    <col min="13" max="13" width="10.09765625" style="1" customWidth="1"/>
    <col min="14" max="14" width="9.09765625" style="1" bestFit="1" customWidth="1"/>
    <col min="15" max="16384" width="9" style="1"/>
  </cols>
  <sheetData>
    <row r="1" spans="1:14" ht="16.5" customHeight="1" x14ac:dyDescent="0.25">
      <c r="A1" s="145" t="s">
        <v>206</v>
      </c>
      <c r="B1" s="145"/>
      <c r="D1" s="50" t="str">
        <f>IF('Merge Details_Printing instr'!$B$11="Insert details here",'Merge Details_Printing instr'!$A$11,'Merge Details_Printing instr'!$B$11)</f>
        <v>Council Name</v>
      </c>
      <c r="H1" s="2129" t="s">
        <v>303</v>
      </c>
      <c r="I1" s="2129"/>
      <c r="J1" s="161"/>
      <c r="K1" s="161"/>
    </row>
    <row r="2" spans="1:14" s="32" customFormat="1" ht="16.5" customHeight="1" x14ac:dyDescent="0.25">
      <c r="A2" s="145" t="s">
        <v>696</v>
      </c>
      <c r="B2" s="145" t="s">
        <v>207</v>
      </c>
      <c r="C2" s="33"/>
      <c r="D2" s="1844" t="str">
        <f>+'Merge Details_Printing instr'!A12</f>
        <v>2023-2024 Financial Report</v>
      </c>
      <c r="E2" s="166"/>
      <c r="F2" s="530"/>
      <c r="G2" s="530"/>
      <c r="H2" s="1843" t="str">
        <f>'Merge Details_Printing instr'!$A$14</f>
        <v>For the Year Ended 30 June 2024</v>
      </c>
      <c r="J2" s="163"/>
      <c r="K2" s="163"/>
    </row>
    <row r="3" spans="1:14" s="32" customFormat="1" ht="12.75" customHeight="1" x14ac:dyDescent="0.2">
      <c r="A3" s="99"/>
      <c r="B3" s="135"/>
      <c r="E3" s="167"/>
      <c r="F3" s="531"/>
      <c r="G3" s="531"/>
      <c r="H3" s="34"/>
      <c r="I3" s="26"/>
      <c r="J3" s="26"/>
      <c r="K3" s="26"/>
    </row>
    <row r="4" spans="1:14" ht="16.5" customHeight="1" x14ac:dyDescent="0.25">
      <c r="A4" s="237"/>
      <c r="B4" s="237"/>
      <c r="C4" s="246"/>
      <c r="E4" s="956" t="s">
        <v>286</v>
      </c>
      <c r="F4" s="956">
        <v>6</v>
      </c>
      <c r="G4" s="960" t="s">
        <v>150</v>
      </c>
      <c r="H4" s="963"/>
      <c r="I4" s="955"/>
      <c r="J4" s="955"/>
      <c r="K4" s="1119"/>
      <c r="L4" s="149"/>
      <c r="M4" s="149"/>
    </row>
    <row r="5" spans="1:14" ht="16.5" customHeight="1" x14ac:dyDescent="0.25">
      <c r="A5" s="238"/>
      <c r="B5" s="238"/>
      <c r="C5" s="3"/>
      <c r="E5" s="956" t="s">
        <v>286</v>
      </c>
      <c r="F5" s="989">
        <v>6.1</v>
      </c>
      <c r="G5" s="1167" t="s">
        <v>1399</v>
      </c>
      <c r="H5" s="955"/>
      <c r="I5" s="953">
        <f>'Merge Details_Printing instr'!A19</f>
        <v>2024</v>
      </c>
      <c r="J5" s="968"/>
      <c r="K5" s="953">
        <f>'Merge Details_Printing instr'!A20</f>
        <v>2023</v>
      </c>
      <c r="M5" s="599"/>
    </row>
    <row r="6" spans="1:14" ht="16.5" customHeight="1" x14ac:dyDescent="0.25">
      <c r="A6" s="238"/>
      <c r="B6" s="238"/>
      <c r="C6" s="3"/>
      <c r="D6" s="4"/>
      <c r="E6" s="1202"/>
      <c r="F6" s="1203"/>
      <c r="G6" s="1014"/>
      <c r="H6" s="955"/>
      <c r="I6" s="1204" t="s">
        <v>60</v>
      </c>
      <c r="J6" s="1205"/>
      <c r="K6" s="1204" t="s">
        <v>60</v>
      </c>
    </row>
    <row r="7" spans="1:14" ht="16.5" customHeight="1" x14ac:dyDescent="0.25">
      <c r="A7" s="238">
        <v>116</v>
      </c>
      <c r="B7" s="238" t="s">
        <v>224</v>
      </c>
      <c r="C7" s="3"/>
      <c r="D7" s="3"/>
      <c r="E7" s="1202"/>
      <c r="F7" s="1203"/>
      <c r="G7" s="1206" t="s">
        <v>584</v>
      </c>
      <c r="H7" s="955"/>
      <c r="I7" s="977"/>
      <c r="J7" s="977"/>
      <c r="K7" s="977"/>
    </row>
    <row r="8" spans="1:14" ht="16.5" customHeight="1" x14ac:dyDescent="0.25">
      <c r="A8" s="238"/>
      <c r="B8" s="238"/>
      <c r="C8" s="3"/>
      <c r="D8" s="3"/>
      <c r="E8" s="1202"/>
      <c r="F8" s="1203"/>
      <c r="G8" s="1207" t="s">
        <v>448</v>
      </c>
      <c r="H8" s="955"/>
      <c r="I8" s="982">
        <f>+I25+I35+I39+I53+I57+I61+I68+I112</f>
        <v>64819</v>
      </c>
      <c r="J8" s="982"/>
      <c r="K8" s="982">
        <f>+K25+K35+K39+K53+K57+K61+K68+K112</f>
        <v>62021</v>
      </c>
      <c r="L8" s="94"/>
      <c r="M8" s="97"/>
      <c r="N8" s="94"/>
    </row>
    <row r="9" spans="1:14" ht="16.5" customHeight="1" x14ac:dyDescent="0.25">
      <c r="A9" s="238"/>
      <c r="B9" s="238"/>
      <c r="C9" s="3"/>
      <c r="D9" s="3"/>
      <c r="E9" s="1202"/>
      <c r="F9" s="1203"/>
      <c r="G9" s="1207" t="s">
        <v>382</v>
      </c>
      <c r="H9" s="955"/>
      <c r="I9" s="982">
        <f>I26+I36+I40+I54+I58+I69+I62</f>
        <v>-26943</v>
      </c>
      <c r="J9" s="982"/>
      <c r="K9" s="982">
        <f>K26+K36+K40+K54+K58+K69+K62</f>
        <v>-23636</v>
      </c>
      <c r="L9" s="94"/>
      <c r="M9" s="599"/>
      <c r="N9" s="94"/>
    </row>
    <row r="10" spans="1:14" ht="16.5" customHeight="1" x14ac:dyDescent="0.25">
      <c r="A10" s="238"/>
      <c r="B10" s="238"/>
      <c r="C10" s="3"/>
      <c r="D10" s="3"/>
      <c r="E10" s="1202"/>
      <c r="F10" s="1203"/>
      <c r="G10" s="1014"/>
      <c r="H10" s="955"/>
      <c r="I10" s="984">
        <f>SUM(I8:I9)</f>
        <v>37876</v>
      </c>
      <c r="J10" s="1208"/>
      <c r="K10" s="984">
        <f>SUM(K8:K9)</f>
        <v>38385</v>
      </c>
      <c r="L10" s="94"/>
      <c r="M10" s="599"/>
      <c r="N10" s="94"/>
    </row>
    <row r="11" spans="1:14" ht="16.5" customHeight="1" x14ac:dyDescent="0.25">
      <c r="A11" s="238"/>
      <c r="B11" s="238"/>
      <c r="C11" s="3"/>
      <c r="D11" s="3"/>
      <c r="E11" s="1202"/>
      <c r="F11" s="1203"/>
      <c r="G11" s="1014"/>
      <c r="H11" s="955"/>
      <c r="I11" s="981"/>
      <c r="J11" s="982"/>
      <c r="K11" s="981"/>
      <c r="L11" s="94"/>
      <c r="M11" s="94"/>
      <c r="N11" s="94"/>
    </row>
    <row r="12" spans="1:14" ht="16.5" customHeight="1" x14ac:dyDescent="0.25">
      <c r="A12" s="238"/>
      <c r="B12" s="238"/>
      <c r="C12" s="3"/>
      <c r="D12" s="3"/>
      <c r="E12" s="1202"/>
      <c r="F12" s="1203"/>
      <c r="G12" s="1014" t="s">
        <v>753</v>
      </c>
      <c r="H12" s="955"/>
      <c r="I12" s="981">
        <f>I19+I22+I31+I43+I72+I81+I85+I89+I94+I98+I102</f>
        <v>650742</v>
      </c>
      <c r="J12" s="981"/>
      <c r="K12" s="981">
        <f>K19+K22+K31+K43+K72+K81+K85+K89+K94+K98+K102</f>
        <v>625100</v>
      </c>
      <c r="L12" s="94"/>
      <c r="M12" s="94"/>
      <c r="N12" s="94"/>
    </row>
    <row r="13" spans="1:14" ht="16.5" customHeight="1" x14ac:dyDescent="0.25">
      <c r="A13" s="238"/>
      <c r="B13" s="238"/>
      <c r="C13" s="3"/>
      <c r="D13" s="3"/>
      <c r="E13" s="1202"/>
      <c r="F13" s="1203"/>
      <c r="G13" s="1014" t="s">
        <v>382</v>
      </c>
      <c r="H13" s="955"/>
      <c r="I13" s="981">
        <f>I32+I44+I73+I82+I86+I90+I95+I99+I103</f>
        <v>-177937</v>
      </c>
      <c r="J13" s="981"/>
      <c r="K13" s="981">
        <f>K32+K44+K73+K82+K86+K90+K95+K99+K103</f>
        <v>-164053</v>
      </c>
      <c r="L13" s="94"/>
      <c r="M13" s="599"/>
      <c r="N13" s="94"/>
    </row>
    <row r="14" spans="1:14" ht="16.5" customHeight="1" x14ac:dyDescent="0.25">
      <c r="A14" s="238"/>
      <c r="B14" s="238"/>
      <c r="C14" s="3"/>
      <c r="D14" s="3"/>
      <c r="E14" s="1202"/>
      <c r="F14" s="1203"/>
      <c r="G14" s="1014"/>
      <c r="H14" s="955"/>
      <c r="I14" s="984">
        <f>SUM(I12:I13)</f>
        <v>472805</v>
      </c>
      <c r="J14" s="1208"/>
      <c r="K14" s="984">
        <f>SUM(K12:K13)</f>
        <v>461047</v>
      </c>
      <c r="L14" s="94"/>
      <c r="M14" s="599"/>
      <c r="N14" s="94"/>
    </row>
    <row r="15" spans="1:14" ht="16.5" customHeight="1" x14ac:dyDescent="0.25">
      <c r="A15" s="238"/>
      <c r="B15" s="238"/>
      <c r="C15" s="3"/>
      <c r="D15" s="3"/>
      <c r="E15" s="1202"/>
      <c r="F15" s="1203"/>
      <c r="G15" s="1167" t="s">
        <v>103</v>
      </c>
      <c r="H15" s="955"/>
      <c r="I15" s="984">
        <f>+I10+I14</f>
        <v>510681</v>
      </c>
      <c r="J15" s="1208"/>
      <c r="K15" s="984">
        <f>+K10+K14</f>
        <v>499432</v>
      </c>
      <c r="L15" s="94"/>
      <c r="M15" s="94"/>
      <c r="N15" s="94"/>
    </row>
    <row r="16" spans="1:14" ht="16.5" customHeight="1" x14ac:dyDescent="0.25">
      <c r="A16" s="238"/>
      <c r="B16" s="238"/>
      <c r="C16" s="3"/>
      <c r="D16" s="3"/>
      <c r="E16" s="1202"/>
      <c r="F16" s="1203"/>
      <c r="G16" s="1014"/>
      <c r="H16" s="955"/>
      <c r="I16" s="985"/>
      <c r="J16" s="985"/>
      <c r="K16" s="985"/>
      <c r="L16" s="169"/>
      <c r="M16" s="274"/>
      <c r="N16" s="94"/>
    </row>
    <row r="17" spans="1:174" ht="16.5" customHeight="1" x14ac:dyDescent="0.25">
      <c r="A17" s="238"/>
      <c r="B17" s="238"/>
      <c r="C17" s="3"/>
      <c r="E17" s="1202"/>
      <c r="F17" s="1203"/>
      <c r="G17" s="1206" t="s">
        <v>452</v>
      </c>
      <c r="H17" s="955"/>
      <c r="I17" s="985"/>
      <c r="J17" s="985"/>
      <c r="K17" s="985"/>
      <c r="L17" s="169"/>
      <c r="M17" s="274"/>
    </row>
    <row r="18" spans="1:174" ht="16.5" customHeight="1" x14ac:dyDescent="0.25">
      <c r="A18" s="238">
        <v>116</v>
      </c>
      <c r="B18" s="238" t="s">
        <v>224</v>
      </c>
      <c r="C18" s="3"/>
      <c r="D18" s="3"/>
      <c r="E18" s="1202"/>
      <c r="F18" s="1203"/>
      <c r="G18" s="1167" t="s">
        <v>92</v>
      </c>
      <c r="H18" s="955"/>
      <c r="I18" s="980"/>
      <c r="J18" s="981"/>
      <c r="K18" s="980"/>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row>
    <row r="19" spans="1:174" ht="16.5" customHeight="1" x14ac:dyDescent="0.25">
      <c r="A19" s="238"/>
      <c r="B19" s="238"/>
      <c r="C19" s="3"/>
      <c r="D19" s="3"/>
      <c r="E19" s="1202"/>
      <c r="F19" s="1203"/>
      <c r="G19" s="1014" t="s">
        <v>754</v>
      </c>
      <c r="H19" s="955"/>
      <c r="I19" s="982">
        <f>134337+35022</f>
        <v>169359</v>
      </c>
      <c r="J19" s="982"/>
      <c r="K19" s="982">
        <v>165810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row>
    <row r="20" spans="1:174" ht="16.5" customHeight="1" x14ac:dyDescent="0.25">
      <c r="A20" s="238"/>
      <c r="B20" s="238"/>
      <c r="C20" s="3"/>
      <c r="D20" s="3"/>
      <c r="E20" s="1202"/>
      <c r="F20" s="1203"/>
      <c r="G20" s="1014"/>
      <c r="H20" s="955"/>
      <c r="I20" s="984">
        <f>SUM(I19:I19)</f>
        <v>169359</v>
      </c>
      <c r="J20" s="985"/>
      <c r="K20" s="984">
        <f>SUM(K19:K19)</f>
        <v>165810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row>
    <row r="21" spans="1:174" ht="16.5" customHeight="1" x14ac:dyDescent="0.25">
      <c r="A21" s="238"/>
      <c r="B21" s="238"/>
      <c r="C21" s="3"/>
      <c r="D21" s="3"/>
      <c r="E21" s="1202"/>
      <c r="F21" s="1203"/>
      <c r="G21" s="1167" t="s">
        <v>179</v>
      </c>
      <c r="H21" s="955"/>
      <c r="I21" s="981"/>
      <c r="J21" s="981"/>
      <c r="K21" s="98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row>
    <row r="22" spans="1:174" ht="16.5" customHeight="1" x14ac:dyDescent="0.25">
      <c r="A22" s="238"/>
      <c r="B22" s="238"/>
      <c r="C22" s="3"/>
      <c r="D22" s="3"/>
      <c r="E22" s="1202"/>
      <c r="F22" s="1203"/>
      <c r="G22" s="1014" t="s">
        <v>754</v>
      </c>
      <c r="H22" s="955"/>
      <c r="I22" s="981">
        <v>91</v>
      </c>
      <c r="J22" s="981"/>
      <c r="K22" s="981">
        <v>37</v>
      </c>
      <c r="L22" s="346"/>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row>
    <row r="23" spans="1:174" ht="16.5" customHeight="1" x14ac:dyDescent="0.25">
      <c r="A23" s="238"/>
      <c r="B23" s="238"/>
      <c r="C23" s="3"/>
      <c r="D23" s="3"/>
      <c r="E23" s="1202"/>
      <c r="F23" s="1203"/>
      <c r="G23" s="1014"/>
      <c r="H23" s="955"/>
      <c r="I23" s="984">
        <f>SUM(I22:I22)</f>
        <v>91</v>
      </c>
      <c r="J23" s="985"/>
      <c r="K23" s="984">
        <f>SUM(K22:K22)</f>
        <v>37</v>
      </c>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row>
    <row r="24" spans="1:174" ht="16.5" customHeight="1" x14ac:dyDescent="0.25">
      <c r="A24" s="238"/>
      <c r="B24" s="238"/>
      <c r="C24" s="3"/>
      <c r="D24" s="3"/>
      <c r="E24" s="1202"/>
      <c r="F24" s="1203"/>
      <c r="G24" s="1167" t="s">
        <v>199</v>
      </c>
      <c r="H24" s="955"/>
      <c r="I24" s="981"/>
      <c r="J24" s="981"/>
      <c r="K24" s="98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row>
    <row r="25" spans="1:174" ht="16.5" customHeight="1" x14ac:dyDescent="0.25">
      <c r="A25" s="238"/>
      <c r="B25" s="238"/>
      <c r="C25" s="3"/>
      <c r="D25" s="3"/>
      <c r="E25" s="1202"/>
      <c r="F25" s="1203"/>
      <c r="G25" s="1014" t="s">
        <v>448</v>
      </c>
      <c r="H25" s="955"/>
      <c r="I25" s="981">
        <f>29824-8000-91</f>
        <v>21733</v>
      </c>
      <c r="J25" s="981"/>
      <c r="K25" s="981">
        <f>25972-10000-37</f>
        <v>15935</v>
      </c>
      <c r="N25" s="11"/>
      <c r="O25" s="11"/>
      <c r="P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row>
    <row r="26" spans="1:174" ht="16.5" customHeight="1" x14ac:dyDescent="0.25">
      <c r="A26" s="238"/>
      <c r="B26" s="238"/>
      <c r="C26" s="3"/>
      <c r="D26" s="3"/>
      <c r="E26" s="1202"/>
      <c r="F26" s="1203"/>
      <c r="G26" s="1014" t="s">
        <v>382</v>
      </c>
      <c r="H26" s="955"/>
      <c r="I26" s="981">
        <v>-8701</v>
      </c>
      <c r="J26" s="981"/>
      <c r="K26" s="981">
        <v>-8405</v>
      </c>
      <c r="M26" s="599"/>
      <c r="N26" s="11"/>
      <c r="O26" s="11"/>
      <c r="P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row>
    <row r="27" spans="1:174" ht="16.5" customHeight="1" x14ac:dyDescent="0.25">
      <c r="A27" s="238"/>
      <c r="B27" s="238"/>
      <c r="C27" s="3"/>
      <c r="D27" s="3"/>
      <c r="E27" s="1202"/>
      <c r="F27" s="1203"/>
      <c r="G27" s="1014"/>
      <c r="H27" s="955"/>
      <c r="I27" s="984">
        <f>SUM(I25:I26)</f>
        <v>13032</v>
      </c>
      <c r="J27" s="985"/>
      <c r="K27" s="984">
        <f>SUM(K25:K26)</f>
        <v>7530</v>
      </c>
      <c r="M27" s="599"/>
      <c r="N27" s="11"/>
      <c r="O27" s="11"/>
      <c r="P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row>
    <row r="28" spans="1:174" ht="14.4" x14ac:dyDescent="0.25">
      <c r="A28" s="238"/>
      <c r="B28" s="238"/>
      <c r="C28" s="3"/>
      <c r="D28" s="3"/>
      <c r="E28" s="1202"/>
      <c r="F28" s="1203"/>
      <c r="G28" s="1206" t="s">
        <v>68</v>
      </c>
      <c r="H28" s="955"/>
      <c r="I28" s="984">
        <f>+I20+I23+I27</f>
        <v>182482</v>
      </c>
      <c r="J28" s="985"/>
      <c r="K28" s="984">
        <f>+K20+K23+K27</f>
        <v>173377</v>
      </c>
      <c r="N28" s="11"/>
      <c r="O28" s="11"/>
      <c r="P28" s="94"/>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row>
    <row r="29" spans="1:174" ht="14.4" x14ac:dyDescent="0.25">
      <c r="A29" s="239"/>
      <c r="B29" s="239"/>
      <c r="E29" s="1202"/>
      <c r="F29" s="1203"/>
      <c r="G29" s="1014"/>
      <c r="H29" s="955"/>
      <c r="I29" s="981"/>
      <c r="J29" s="981"/>
      <c r="K29" s="981"/>
      <c r="N29" s="11"/>
      <c r="O29" s="94"/>
      <c r="P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row>
    <row r="30" spans="1:174" ht="16.5" customHeight="1" x14ac:dyDescent="0.25">
      <c r="A30" s="238">
        <v>116</v>
      </c>
      <c r="B30" s="238" t="s">
        <v>224</v>
      </c>
      <c r="E30" s="1202"/>
      <c r="F30" s="1203"/>
      <c r="G30" s="1167" t="s">
        <v>145</v>
      </c>
      <c r="H30" s="955"/>
      <c r="I30" s="982"/>
      <c r="J30" s="982"/>
      <c r="K30" s="982"/>
      <c r="N30" s="11"/>
      <c r="O30" s="11"/>
      <c r="P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row>
    <row r="31" spans="1:174" ht="16.5" customHeight="1" x14ac:dyDescent="0.25">
      <c r="A31" s="239"/>
      <c r="B31" s="239"/>
      <c r="E31" s="1202"/>
      <c r="F31" s="1203"/>
      <c r="G31" s="1014" t="s">
        <v>753</v>
      </c>
      <c r="H31" s="955"/>
      <c r="I31" s="981">
        <v>134251</v>
      </c>
      <c r="J31" s="981"/>
      <c r="K31" s="980">
        <f>115644+7401</f>
        <v>123045</v>
      </c>
      <c r="N31" s="11"/>
      <c r="O31" s="94"/>
      <c r="P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row>
    <row r="32" spans="1:174" ht="16.5" customHeight="1" x14ac:dyDescent="0.25">
      <c r="A32" s="239"/>
      <c r="B32" s="239"/>
      <c r="E32" s="1202"/>
      <c r="F32" s="1203"/>
      <c r="G32" s="1014" t="s">
        <v>382</v>
      </c>
      <c r="H32" s="955"/>
      <c r="I32" s="981">
        <v>-52197</v>
      </c>
      <c r="J32" s="981"/>
      <c r="K32" s="981">
        <v>-49125</v>
      </c>
      <c r="M32" s="599"/>
      <c r="N32" s="11"/>
      <c r="O32" s="94"/>
      <c r="P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row>
    <row r="33" spans="1:174" ht="16.5" customHeight="1" x14ac:dyDescent="0.25">
      <c r="A33" s="239"/>
      <c r="B33" s="239"/>
      <c r="E33" s="1202"/>
      <c r="F33" s="1203"/>
      <c r="G33" s="1014"/>
      <c r="H33" s="955"/>
      <c r="I33" s="984">
        <f>SUM(I31:I32)</f>
        <v>82054</v>
      </c>
      <c r="J33" s="985"/>
      <c r="K33" s="984">
        <f>SUM(K31:K32)</f>
        <v>73920</v>
      </c>
      <c r="M33" s="599"/>
      <c r="N33" s="11"/>
      <c r="O33" s="94"/>
      <c r="P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row>
    <row r="34" spans="1:174" ht="16.5" customHeight="1" x14ac:dyDescent="0.25">
      <c r="A34" s="238">
        <v>116</v>
      </c>
      <c r="B34" s="238" t="s">
        <v>224</v>
      </c>
      <c r="E34" s="1202"/>
      <c r="F34" s="1203"/>
      <c r="G34" s="1167" t="s">
        <v>533</v>
      </c>
      <c r="H34" s="955"/>
      <c r="I34" s="982"/>
      <c r="J34" s="983"/>
      <c r="K34" s="982"/>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row>
    <row r="35" spans="1:174" ht="16.5" customHeight="1" x14ac:dyDescent="0.25">
      <c r="A35" s="239"/>
      <c r="B35" s="239"/>
      <c r="E35" s="1202"/>
      <c r="F35" s="1203"/>
      <c r="G35" s="1014" t="s">
        <v>448</v>
      </c>
      <c r="H35" s="955"/>
      <c r="I35" s="980">
        <v>6155</v>
      </c>
      <c r="J35" s="981"/>
      <c r="K35" s="980">
        <v>5800</v>
      </c>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row>
    <row r="36" spans="1:174" ht="16.5" customHeight="1" x14ac:dyDescent="0.25">
      <c r="A36" s="239"/>
      <c r="B36" s="239"/>
      <c r="E36" s="1202"/>
      <c r="F36" s="1203"/>
      <c r="G36" s="1014" t="s">
        <v>382</v>
      </c>
      <c r="H36" s="955"/>
      <c r="I36" s="981">
        <v>-1036</v>
      </c>
      <c r="J36" s="981"/>
      <c r="K36" s="981">
        <v>-841</v>
      </c>
      <c r="M36" s="599"/>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row>
    <row r="37" spans="1:174" ht="16.5" customHeight="1" x14ac:dyDescent="0.25">
      <c r="A37" s="239"/>
      <c r="B37" s="239"/>
      <c r="E37" s="1202"/>
      <c r="F37" s="1203"/>
      <c r="G37" s="1014"/>
      <c r="H37" s="955"/>
      <c r="I37" s="984">
        <f>SUM(I35:I36)</f>
        <v>5119</v>
      </c>
      <c r="J37" s="985"/>
      <c r="K37" s="984">
        <f>SUM(K35:K36)</f>
        <v>4959</v>
      </c>
      <c r="M37" s="599"/>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row>
    <row r="38" spans="1:174" ht="14.4" x14ac:dyDescent="0.25">
      <c r="A38" s="238">
        <v>116</v>
      </c>
      <c r="B38" s="238" t="s">
        <v>224</v>
      </c>
      <c r="C38" s="3"/>
      <c r="D38" s="3"/>
      <c r="E38" s="1202"/>
      <c r="F38" s="1203"/>
      <c r="G38" s="1167" t="s">
        <v>255</v>
      </c>
      <c r="H38" s="955"/>
      <c r="I38" s="972"/>
      <c r="J38" s="972"/>
      <c r="K38" s="972"/>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row>
    <row r="39" spans="1:174" ht="14.4" x14ac:dyDescent="0.25">
      <c r="A39" s="238"/>
      <c r="B39" s="238"/>
      <c r="C39" s="3"/>
      <c r="D39" s="3"/>
      <c r="E39" s="1202"/>
      <c r="F39" s="1203"/>
      <c r="G39" s="1014" t="s">
        <v>448</v>
      </c>
      <c r="H39" s="955"/>
      <c r="I39" s="982">
        <v>0</v>
      </c>
      <c r="J39" s="982"/>
      <c r="K39" s="982">
        <v>0</v>
      </c>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row>
    <row r="40" spans="1:174" ht="16.5" customHeight="1" x14ac:dyDescent="0.25">
      <c r="A40" s="238"/>
      <c r="B40" s="238"/>
      <c r="C40" s="3"/>
      <c r="D40" s="3"/>
      <c r="E40" s="1202"/>
      <c r="F40" s="1203"/>
      <c r="G40" s="1014" t="s">
        <v>293</v>
      </c>
      <c r="H40" s="955"/>
      <c r="I40" s="1066">
        <v>0</v>
      </c>
      <c r="J40" s="982"/>
      <c r="K40" s="1066">
        <v>0</v>
      </c>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row>
    <row r="41" spans="1:174" ht="16.5" customHeight="1" x14ac:dyDescent="0.25">
      <c r="A41" s="238"/>
      <c r="B41" s="238"/>
      <c r="C41" s="3"/>
      <c r="D41" s="3"/>
      <c r="E41" s="1202"/>
      <c r="F41" s="1203"/>
      <c r="G41" s="1014"/>
      <c r="H41" s="955"/>
      <c r="I41" s="984">
        <f>SUM(I39:I40)</f>
        <v>0</v>
      </c>
      <c r="J41" s="1209"/>
      <c r="K41" s="984">
        <f>SUM(K39:K40)</f>
        <v>0</v>
      </c>
      <c r="M41" s="599"/>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row>
    <row r="42" spans="1:174" ht="16.5" customHeight="1" x14ac:dyDescent="0.25">
      <c r="A42" s="238">
        <v>116</v>
      </c>
      <c r="B42" s="238" t="s">
        <v>224</v>
      </c>
      <c r="C42" s="3"/>
      <c r="D42" s="3"/>
      <c r="E42" s="1202"/>
      <c r="F42" s="1203"/>
      <c r="G42" s="1167" t="s">
        <v>453</v>
      </c>
      <c r="H42" s="955"/>
      <c r="I42" s="955"/>
      <c r="J42" s="955"/>
      <c r="K42" s="955"/>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row>
    <row r="43" spans="1:174" ht="16.5" customHeight="1" x14ac:dyDescent="0.25">
      <c r="A43" s="142"/>
      <c r="B43" s="142"/>
      <c r="C43" s="3"/>
      <c r="D43" s="3"/>
      <c r="E43" s="1202"/>
      <c r="F43" s="1203"/>
      <c r="G43" s="1014" t="s">
        <v>753</v>
      </c>
      <c r="H43" s="955"/>
      <c r="I43" s="981">
        <v>1074</v>
      </c>
      <c r="J43" s="983"/>
      <c r="K43" s="981">
        <v>1020</v>
      </c>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row>
    <row r="44" spans="1:174" ht="16.5" customHeight="1" x14ac:dyDescent="0.25">
      <c r="A44" s="142"/>
      <c r="B44" s="142"/>
      <c r="C44" s="3"/>
      <c r="D44" s="3"/>
      <c r="E44" s="1202"/>
      <c r="F44" s="1203"/>
      <c r="G44" s="1014" t="s">
        <v>382</v>
      </c>
      <c r="H44" s="955"/>
      <c r="I44" s="1066">
        <v>-636</v>
      </c>
      <c r="J44" s="982"/>
      <c r="K44" s="1066">
        <v>-495</v>
      </c>
      <c r="M44" s="599"/>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row>
    <row r="45" spans="1:174" ht="16.5" customHeight="1" x14ac:dyDescent="0.25">
      <c r="A45" s="142"/>
      <c r="B45" s="142"/>
      <c r="C45" s="3"/>
      <c r="D45" s="3"/>
      <c r="E45" s="1202"/>
      <c r="F45" s="1203"/>
      <c r="G45" s="1014"/>
      <c r="H45" s="955"/>
      <c r="I45" s="984">
        <f>SUM(I43:I44)</f>
        <v>438</v>
      </c>
      <c r="J45" s="1208"/>
      <c r="K45" s="984">
        <f>SUM(K43:K44)</f>
        <v>525</v>
      </c>
      <c r="M45" s="599"/>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row>
    <row r="46" spans="1:174" ht="16.5" customHeight="1" x14ac:dyDescent="0.25">
      <c r="A46" s="142"/>
      <c r="B46" s="142"/>
      <c r="E46" s="1202"/>
      <c r="F46" s="1203"/>
      <c r="G46" s="1206" t="s">
        <v>547</v>
      </c>
      <c r="H46" s="955"/>
      <c r="I46" s="984">
        <f>+I33+I37+I41+I45</f>
        <v>87611</v>
      </c>
      <c r="J46" s="985"/>
      <c r="K46" s="984">
        <f>+K33+K37+K41+K45</f>
        <v>79404</v>
      </c>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row>
    <row r="47" spans="1:174" ht="16.5" customHeight="1" x14ac:dyDescent="0.25">
      <c r="A47" s="142"/>
      <c r="B47" s="142"/>
      <c r="E47" s="1202"/>
      <c r="F47" s="1203"/>
      <c r="G47" s="1014"/>
      <c r="H47" s="955"/>
      <c r="I47" s="981"/>
      <c r="J47" s="981"/>
      <c r="K47" s="98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row>
    <row r="48" spans="1:174" ht="16.5" customHeight="1" x14ac:dyDescent="0.25">
      <c r="A48" s="142"/>
      <c r="B48" s="142"/>
      <c r="C48" s="3"/>
      <c r="E48" s="1202"/>
      <c r="F48" s="1203"/>
      <c r="G48" s="1206" t="s">
        <v>455</v>
      </c>
      <c r="H48" s="955"/>
      <c r="I48" s="984">
        <f>+I46+I28</f>
        <v>270093</v>
      </c>
      <c r="J48" s="985"/>
      <c r="K48" s="984">
        <f>+K46+K28</f>
        <v>252781</v>
      </c>
      <c r="N48" s="13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row>
    <row r="49" spans="1:174" ht="20.25" customHeight="1" x14ac:dyDescent="0.25">
      <c r="A49" s="142"/>
      <c r="B49" s="142"/>
      <c r="C49" s="3"/>
      <c r="D49" s="50"/>
      <c r="E49" s="1202"/>
      <c r="F49" s="1203"/>
      <c r="G49" s="1206"/>
      <c r="H49" s="955"/>
      <c r="I49" s="988"/>
      <c r="J49" s="988"/>
      <c r="K49" s="988"/>
      <c r="L49" s="346"/>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row>
    <row r="50" spans="1:174" ht="16.5" customHeight="1" x14ac:dyDescent="0.25">
      <c r="A50" s="142">
        <v>116</v>
      </c>
      <c r="B50" s="142" t="s">
        <v>224</v>
      </c>
      <c r="C50" s="3"/>
      <c r="E50" s="1210"/>
      <c r="F50" s="1211"/>
      <c r="G50" s="1206" t="s">
        <v>120</v>
      </c>
      <c r="H50" s="955"/>
      <c r="I50" s="955"/>
      <c r="J50" s="955"/>
      <c r="K50" s="955"/>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row>
    <row r="51" spans="1:174" ht="14.4" x14ac:dyDescent="0.25">
      <c r="A51" s="142"/>
      <c r="B51" s="142"/>
      <c r="C51" s="3"/>
      <c r="D51" s="3"/>
      <c r="E51" s="1202"/>
      <c r="F51" s="1203"/>
      <c r="G51" s="1014"/>
      <c r="H51" s="955"/>
      <c r="I51" s="955"/>
      <c r="J51" s="955"/>
      <c r="K51" s="955"/>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row>
    <row r="52" spans="1:174" ht="16.5" customHeight="1" x14ac:dyDescent="0.25">
      <c r="A52" s="142"/>
      <c r="B52" s="142"/>
      <c r="C52" s="3"/>
      <c r="D52" s="3"/>
      <c r="E52" s="1202"/>
      <c r="F52" s="1203"/>
      <c r="G52" s="1167" t="s">
        <v>534</v>
      </c>
      <c r="H52" s="955"/>
      <c r="I52" s="988"/>
      <c r="J52" s="977"/>
      <c r="K52" s="988"/>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row>
    <row r="53" spans="1:174" ht="16.5" customHeight="1" x14ac:dyDescent="0.25">
      <c r="A53" s="142"/>
      <c r="B53" s="142"/>
      <c r="C53" s="3"/>
      <c r="D53" s="3"/>
      <c r="E53" s="1202"/>
      <c r="F53" s="1203"/>
      <c r="G53" s="1014" t="s">
        <v>448</v>
      </c>
      <c r="H53" s="955"/>
      <c r="I53" s="981">
        <f>14330+5221</f>
        <v>19551</v>
      </c>
      <c r="J53" s="982"/>
      <c r="K53" s="981">
        <f>14322+5461</f>
        <v>19783</v>
      </c>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row>
    <row r="54" spans="1:174" ht="14.4" x14ac:dyDescent="0.25">
      <c r="A54" s="142"/>
      <c r="B54" s="142"/>
      <c r="C54" s="3"/>
      <c r="D54" s="3"/>
      <c r="E54" s="1202"/>
      <c r="F54" s="1203"/>
      <c r="G54" s="1014" t="s">
        <v>382</v>
      </c>
      <c r="H54" s="955"/>
      <c r="I54" s="981">
        <f>-9189-1718</f>
        <v>-10907</v>
      </c>
      <c r="J54" s="982"/>
      <c r="K54" s="981">
        <f>-8000-1108</f>
        <v>-9108</v>
      </c>
      <c r="M54" s="599"/>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row>
    <row r="55" spans="1:174" ht="16.5" customHeight="1" x14ac:dyDescent="0.25">
      <c r="A55" s="142"/>
      <c r="B55" s="142"/>
      <c r="C55" s="3"/>
      <c r="D55" s="3"/>
      <c r="E55" s="1202"/>
      <c r="F55" s="1203"/>
      <c r="G55" s="1014"/>
      <c r="H55" s="955"/>
      <c r="I55" s="984">
        <f>SUM(I53:I54)</f>
        <v>8644</v>
      </c>
      <c r="J55" s="1208"/>
      <c r="K55" s="984">
        <f>SUM(K53:K54)</f>
        <v>10675</v>
      </c>
      <c r="M55" s="599"/>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row>
    <row r="56" spans="1:174" ht="16.5" customHeight="1" x14ac:dyDescent="0.25">
      <c r="A56" s="151"/>
      <c r="B56" s="151"/>
      <c r="E56" s="1202"/>
      <c r="F56" s="1203"/>
      <c r="G56" s="1167" t="s">
        <v>536</v>
      </c>
      <c r="H56" s="955"/>
      <c r="I56" s="983"/>
      <c r="J56" s="982"/>
      <c r="K56" s="983"/>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row>
    <row r="57" spans="1:174" ht="16.5" customHeight="1" x14ac:dyDescent="0.25">
      <c r="A57" s="151"/>
      <c r="B57" s="151"/>
      <c r="E57" s="1202"/>
      <c r="F57" s="1203"/>
      <c r="G57" s="1014" t="s">
        <v>448</v>
      </c>
      <c r="H57" s="955"/>
      <c r="I57" s="981">
        <v>8083</v>
      </c>
      <c r="J57" s="982"/>
      <c r="K57" s="981">
        <v>9542</v>
      </c>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row>
    <row r="58" spans="1:174" ht="16.5" customHeight="1" x14ac:dyDescent="0.25">
      <c r="A58" s="151"/>
      <c r="B58" s="151"/>
      <c r="E58" s="1202"/>
      <c r="F58" s="1203"/>
      <c r="G58" s="1014" t="s">
        <v>382</v>
      </c>
      <c r="H58" s="955"/>
      <c r="I58" s="981">
        <v>-5111</v>
      </c>
      <c r="J58" s="982"/>
      <c r="K58" s="981">
        <v>-4399</v>
      </c>
      <c r="M58" s="599"/>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row>
    <row r="59" spans="1:174" ht="16.5" customHeight="1" x14ac:dyDescent="0.25">
      <c r="A59" s="151"/>
      <c r="B59" s="151"/>
      <c r="E59" s="1202"/>
      <c r="F59" s="1203"/>
      <c r="G59" s="1014"/>
      <c r="H59" s="955"/>
      <c r="I59" s="984">
        <f>SUM(I57:I58)</f>
        <v>2972</v>
      </c>
      <c r="J59" s="1208"/>
      <c r="K59" s="984">
        <f>SUM(K57:K58)</f>
        <v>5143</v>
      </c>
      <c r="M59" s="599"/>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row>
    <row r="60" spans="1:174" ht="16.5" customHeight="1" x14ac:dyDescent="0.25">
      <c r="A60" s="151"/>
      <c r="B60" s="151"/>
      <c r="E60" s="963"/>
      <c r="F60" s="986"/>
      <c r="G60" s="1167" t="s">
        <v>535</v>
      </c>
      <c r="H60" s="955"/>
      <c r="I60" s="982"/>
      <c r="J60" s="982"/>
      <c r="K60" s="982"/>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row>
    <row r="61" spans="1:174" ht="16.5" customHeight="1" x14ac:dyDescent="0.25">
      <c r="A61" s="151"/>
      <c r="B61" s="151"/>
      <c r="E61" s="963"/>
      <c r="F61" s="986"/>
      <c r="G61" s="1014" t="s">
        <v>448</v>
      </c>
      <c r="H61" s="955"/>
      <c r="I61" s="980">
        <v>2357</v>
      </c>
      <c r="J61" s="981"/>
      <c r="K61" s="980">
        <v>1987</v>
      </c>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row>
    <row r="62" spans="1:174" ht="16.5" customHeight="1" x14ac:dyDescent="0.25">
      <c r="A62" s="151"/>
      <c r="B62" s="151"/>
      <c r="E62" s="963"/>
      <c r="F62" s="986"/>
      <c r="G62" s="1014" t="s">
        <v>382</v>
      </c>
      <c r="H62" s="955"/>
      <c r="I62" s="1066">
        <v>-1188</v>
      </c>
      <c r="J62" s="981"/>
      <c r="K62" s="1066">
        <v>-883</v>
      </c>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row>
    <row r="63" spans="1:174" ht="16.5" customHeight="1" x14ac:dyDescent="0.25">
      <c r="A63" s="151"/>
      <c r="B63" s="151"/>
      <c r="E63" s="963"/>
      <c r="F63" s="986"/>
      <c r="G63" s="1014"/>
      <c r="H63" s="955"/>
      <c r="I63" s="984">
        <f>SUM(I61:I62)</f>
        <v>1169</v>
      </c>
      <c r="J63" s="1208"/>
      <c r="K63" s="984">
        <f>SUM(K61:K62)</f>
        <v>1104</v>
      </c>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row>
    <row r="64" spans="1:174" ht="16.5" customHeight="1" x14ac:dyDescent="0.25">
      <c r="A64" s="239"/>
      <c r="B64" s="239"/>
      <c r="E64" s="963"/>
      <c r="F64" s="986"/>
      <c r="G64" s="1014"/>
      <c r="H64" s="955"/>
      <c r="I64" s="985"/>
      <c r="J64" s="1208"/>
      <c r="K64" s="985"/>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row>
    <row r="65" spans="1:174" ht="16.5" customHeight="1" x14ac:dyDescent="0.25">
      <c r="A65" s="238"/>
      <c r="B65" s="238"/>
      <c r="C65" s="3"/>
      <c r="E65" s="956" t="str">
        <f>E5</f>
        <v>Note</v>
      </c>
      <c r="F65" s="989">
        <f>F5</f>
        <v>6.1</v>
      </c>
      <c r="G65" s="1167" t="s">
        <v>1557</v>
      </c>
      <c r="H65" s="955"/>
      <c r="I65" s="953">
        <f>'Merge Details_Printing instr'!A19</f>
        <v>2024</v>
      </c>
      <c r="J65" s="968"/>
      <c r="K65" s="953">
        <f>'Merge Details_Printing instr'!A20</f>
        <v>2023</v>
      </c>
    </row>
    <row r="66" spans="1:174" ht="16.5" customHeight="1" x14ac:dyDescent="0.25">
      <c r="A66" s="238"/>
      <c r="B66" s="238"/>
      <c r="C66" s="3"/>
      <c r="D66" s="35"/>
      <c r="E66" s="1202"/>
      <c r="F66" s="1203"/>
      <c r="G66" s="1167"/>
      <c r="H66" s="955"/>
      <c r="I66" s="1204" t="s">
        <v>60</v>
      </c>
      <c r="J66" s="1205"/>
      <c r="K66" s="1204" t="s">
        <v>60</v>
      </c>
    </row>
    <row r="67" spans="1:174" ht="16.5" customHeight="1" x14ac:dyDescent="0.25">
      <c r="A67" s="142">
        <v>16</v>
      </c>
      <c r="B67" s="142" t="s">
        <v>2104</v>
      </c>
      <c r="E67" s="963"/>
      <c r="F67" s="1203"/>
      <c r="G67" s="1167" t="s">
        <v>1865</v>
      </c>
      <c r="H67" s="955"/>
      <c r="I67" s="982"/>
      <c r="J67" s="982"/>
      <c r="K67" s="982"/>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row>
    <row r="68" spans="1:174" ht="16.5" customHeight="1" x14ac:dyDescent="0.25">
      <c r="A68" s="151"/>
      <c r="B68" s="151"/>
      <c r="E68" s="963"/>
      <c r="F68" s="1203"/>
      <c r="G68" s="1014" t="s">
        <v>448</v>
      </c>
      <c r="H68" s="955"/>
      <c r="I68" s="982">
        <v>0</v>
      </c>
      <c r="J68" s="982"/>
      <c r="K68" s="982">
        <v>0</v>
      </c>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row>
    <row r="69" spans="1:174" ht="16.5" customHeight="1" x14ac:dyDescent="0.25">
      <c r="A69" s="151"/>
      <c r="B69" s="151"/>
      <c r="E69" s="963"/>
      <c r="F69" s="1203"/>
      <c r="G69" s="1014" t="s">
        <v>293</v>
      </c>
      <c r="H69" s="955"/>
      <c r="I69" s="981">
        <v>0</v>
      </c>
      <c r="J69" s="982"/>
      <c r="K69" s="981">
        <v>0</v>
      </c>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row>
    <row r="70" spans="1:174" ht="16.5" customHeight="1" x14ac:dyDescent="0.25">
      <c r="A70" s="239"/>
      <c r="B70" s="239"/>
      <c r="E70" s="963"/>
      <c r="F70" s="1203"/>
      <c r="G70" s="1014"/>
      <c r="H70" s="955"/>
      <c r="I70" s="984">
        <f>SUM(I68:I69)</f>
        <v>0</v>
      </c>
      <c r="J70" s="1208"/>
      <c r="K70" s="984">
        <f>SUM(K68:K69)</f>
        <v>0</v>
      </c>
      <c r="M70" s="599"/>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row>
    <row r="71" spans="1:174" ht="16.5" customHeight="1" x14ac:dyDescent="0.25">
      <c r="A71" s="151"/>
      <c r="B71" s="151"/>
      <c r="E71" s="963"/>
      <c r="F71" s="986"/>
      <c r="G71" s="1167" t="s">
        <v>374</v>
      </c>
      <c r="H71" s="955"/>
      <c r="I71" s="980"/>
      <c r="J71" s="983"/>
      <c r="K71" s="980"/>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row>
    <row r="72" spans="1:174" ht="16.5" customHeight="1" x14ac:dyDescent="0.25">
      <c r="A72" s="151"/>
      <c r="B72" s="151"/>
      <c r="E72" s="963"/>
      <c r="F72" s="986"/>
      <c r="G72" s="1014" t="s">
        <v>753</v>
      </c>
      <c r="H72" s="955"/>
      <c r="I72" s="980">
        <v>73</v>
      </c>
      <c r="J72" s="981"/>
      <c r="K72" s="980">
        <v>20</v>
      </c>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row>
    <row r="73" spans="1:174" ht="16.5" customHeight="1" x14ac:dyDescent="0.25">
      <c r="A73" s="151"/>
      <c r="B73" s="151"/>
      <c r="E73" s="963"/>
      <c r="F73" s="986"/>
      <c r="G73" s="1014" t="s">
        <v>382</v>
      </c>
      <c r="H73" s="955"/>
      <c r="I73" s="981">
        <v>-15</v>
      </c>
      <c r="J73" s="981"/>
      <c r="K73" s="981">
        <v>-4</v>
      </c>
      <c r="M73" s="599"/>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row>
    <row r="74" spans="1:174" ht="16.5" customHeight="1" x14ac:dyDescent="0.25">
      <c r="A74" s="151"/>
      <c r="B74" s="151"/>
      <c r="E74" s="963"/>
      <c r="F74" s="986"/>
      <c r="G74" s="1014"/>
      <c r="H74" s="955"/>
      <c r="I74" s="984">
        <f>SUM(I72:I73)</f>
        <v>58</v>
      </c>
      <c r="J74" s="985"/>
      <c r="K74" s="984">
        <f>SUM(K72:K73)</f>
        <v>16</v>
      </c>
      <c r="M74" s="599"/>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row>
    <row r="75" spans="1:174" ht="16.5" customHeight="1" x14ac:dyDescent="0.25">
      <c r="A75" s="143"/>
      <c r="B75" s="171"/>
      <c r="C75" s="11"/>
      <c r="D75" s="31"/>
      <c r="E75" s="1212"/>
      <c r="F75" s="1213"/>
      <c r="G75" s="1214"/>
      <c r="H75" s="955"/>
      <c r="I75" s="981"/>
      <c r="J75" s="981"/>
      <c r="K75" s="98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row>
    <row r="76" spans="1:174" ht="16.5" customHeight="1" x14ac:dyDescent="0.25">
      <c r="A76" s="142"/>
      <c r="B76" s="171"/>
      <c r="C76" s="11"/>
      <c r="E76" s="1212"/>
      <c r="F76" s="1213"/>
      <c r="G76" s="1206" t="s">
        <v>480</v>
      </c>
      <c r="H76" s="955"/>
      <c r="I76" s="984">
        <f>+I55+I59+I63+I70+I74</f>
        <v>12843</v>
      </c>
      <c r="J76" s="984"/>
      <c r="K76" s="984">
        <f>+K55+K59+K63+K70+K74</f>
        <v>16938</v>
      </c>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row>
    <row r="77" spans="1:174" ht="16.5" customHeight="1" x14ac:dyDescent="0.25">
      <c r="A77" s="142"/>
      <c r="B77" s="171"/>
      <c r="C77" s="11"/>
      <c r="D77" s="50"/>
      <c r="E77" s="1212"/>
      <c r="F77" s="1213"/>
      <c r="G77" s="1214"/>
      <c r="H77" s="955"/>
      <c r="I77" s="988"/>
      <c r="J77" s="988"/>
      <c r="K77" s="988"/>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row>
    <row r="78" spans="1:174" ht="16.5" customHeight="1" x14ac:dyDescent="0.25">
      <c r="A78" s="157">
        <v>116</v>
      </c>
      <c r="B78" s="157" t="s">
        <v>224</v>
      </c>
      <c r="C78" s="19"/>
      <c r="E78" s="1215"/>
      <c r="F78" s="1216"/>
      <c r="G78" s="1206" t="s">
        <v>94</v>
      </c>
      <c r="H78" s="955"/>
      <c r="I78" s="1204"/>
      <c r="J78" s="1205"/>
      <c r="K78" s="1204"/>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row>
    <row r="79" spans="1:174" ht="16.5" customHeight="1" x14ac:dyDescent="0.25">
      <c r="A79" s="157"/>
      <c r="B79" s="157"/>
      <c r="C79" s="19"/>
      <c r="E79" s="1215"/>
      <c r="F79" s="1216"/>
      <c r="G79" s="1206"/>
      <c r="H79" s="955"/>
      <c r="I79" s="1204"/>
      <c r="J79" s="1205"/>
      <c r="K79" s="1204"/>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row>
    <row r="80" spans="1:174" ht="16.5" customHeight="1" x14ac:dyDescent="0.25">
      <c r="A80" s="143"/>
      <c r="B80" s="157"/>
      <c r="C80" s="19"/>
      <c r="D80" s="19"/>
      <c r="E80" s="1212"/>
      <c r="F80" s="1213"/>
      <c r="G80" s="1167" t="s">
        <v>262</v>
      </c>
      <c r="H80" s="955"/>
      <c r="I80" s="968"/>
      <c r="J80" s="977"/>
      <c r="K80" s="968"/>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row>
    <row r="81" spans="1:174" ht="16.5" customHeight="1" x14ac:dyDescent="0.25">
      <c r="A81" s="142"/>
      <c r="B81" s="142"/>
      <c r="C81" s="3"/>
      <c r="D81" s="3"/>
      <c r="E81" s="1202"/>
      <c r="F81" s="1203"/>
      <c r="G81" s="1014" t="s">
        <v>753</v>
      </c>
      <c r="H81" s="955"/>
      <c r="I81" s="981">
        <f>245125+5693</f>
        <v>250818</v>
      </c>
      <c r="J81" s="981"/>
      <c r="K81" s="981">
        <v>245125</v>
      </c>
      <c r="M81" s="94"/>
      <c r="N81" s="94"/>
      <c r="O81" s="94"/>
      <c r="P81" s="94"/>
      <c r="Q81" s="94"/>
      <c r="R81" s="94"/>
      <c r="S81" s="94"/>
      <c r="T81" s="96"/>
      <c r="U81" s="94"/>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row>
    <row r="82" spans="1:174" ht="16.5" customHeight="1" x14ac:dyDescent="0.25">
      <c r="A82" s="142"/>
      <c r="B82" s="142"/>
      <c r="C82" s="3"/>
      <c r="D82" s="3"/>
      <c r="E82" s="1202"/>
      <c r="F82" s="1203"/>
      <c r="G82" s="1014" t="s">
        <v>382</v>
      </c>
      <c r="H82" s="955"/>
      <c r="I82" s="981">
        <f>-84853-58</f>
        <v>-84911</v>
      </c>
      <c r="J82" s="981"/>
      <c r="K82" s="981">
        <v>-78011</v>
      </c>
      <c r="M82" s="599"/>
      <c r="N82" s="94"/>
      <c r="O82" s="94"/>
      <c r="P82" s="94"/>
      <c r="Q82" s="94"/>
      <c r="R82" s="94"/>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row>
    <row r="83" spans="1:174" ht="16.5" customHeight="1" x14ac:dyDescent="0.25">
      <c r="A83" s="142"/>
      <c r="B83" s="142"/>
      <c r="C83" s="3"/>
      <c r="D83" s="3"/>
      <c r="E83" s="1202"/>
      <c r="F83" s="1203"/>
      <c r="G83" s="1014"/>
      <c r="H83" s="955"/>
      <c r="I83" s="984">
        <f>SUM(I81:I82)</f>
        <v>165907</v>
      </c>
      <c r="J83" s="985"/>
      <c r="K83" s="984">
        <f>SUM(K81:K82)</f>
        <v>167114</v>
      </c>
      <c r="M83" s="599"/>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row>
    <row r="84" spans="1:174" ht="16.5" customHeight="1" x14ac:dyDescent="0.25">
      <c r="A84" s="151"/>
      <c r="B84" s="151"/>
      <c r="E84" s="963"/>
      <c r="F84" s="986"/>
      <c r="G84" s="1167" t="s">
        <v>476</v>
      </c>
      <c r="H84" s="955"/>
      <c r="I84" s="983"/>
      <c r="J84" s="981"/>
      <c r="K84" s="983"/>
      <c r="M84" s="131"/>
      <c r="O84" s="131"/>
      <c r="P84" s="13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row>
    <row r="85" spans="1:174" ht="16.5" customHeight="1" x14ac:dyDescent="0.25">
      <c r="A85" s="142"/>
      <c r="B85" s="142"/>
      <c r="C85" s="3"/>
      <c r="D85" s="3"/>
      <c r="E85" s="1202"/>
      <c r="F85" s="1203"/>
      <c r="G85" s="1014" t="s">
        <v>753</v>
      </c>
      <c r="H85" s="955"/>
      <c r="I85" s="981">
        <v>9293</v>
      </c>
      <c r="J85" s="982"/>
      <c r="K85" s="981">
        <v>8183</v>
      </c>
      <c r="M85" s="94"/>
      <c r="N85" s="96"/>
      <c r="O85" s="94"/>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row>
    <row r="86" spans="1:174" ht="16.5" customHeight="1" x14ac:dyDescent="0.25">
      <c r="A86" s="142"/>
      <c r="B86" s="142"/>
      <c r="C86" s="3"/>
      <c r="D86" s="3"/>
      <c r="E86" s="1202"/>
      <c r="F86" s="1203"/>
      <c r="G86" s="1014" t="s">
        <v>382</v>
      </c>
      <c r="H86" s="955"/>
      <c r="I86" s="981">
        <v>-3474</v>
      </c>
      <c r="J86" s="982"/>
      <c r="K86" s="981">
        <v>-3224</v>
      </c>
      <c r="M86" s="599"/>
      <c r="N86" s="96"/>
      <c r="O86" s="94"/>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row>
    <row r="87" spans="1:174" ht="16.5" customHeight="1" x14ac:dyDescent="0.25">
      <c r="A87" s="142"/>
      <c r="B87" s="142"/>
      <c r="C87" s="3"/>
      <c r="D87" s="3"/>
      <c r="E87" s="1202"/>
      <c r="F87" s="1203"/>
      <c r="G87" s="1014"/>
      <c r="H87" s="955"/>
      <c r="I87" s="984">
        <f>SUM(I85:I86)</f>
        <v>5819</v>
      </c>
      <c r="J87" s="1208"/>
      <c r="K87" s="984">
        <f>SUM(K85:K86)</f>
        <v>4959</v>
      </c>
      <c r="M87" s="599"/>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row>
    <row r="88" spans="1:174" ht="15.75" customHeight="1" x14ac:dyDescent="0.25">
      <c r="A88" s="142"/>
      <c r="B88" s="142"/>
      <c r="C88" s="3"/>
      <c r="D88" s="3"/>
      <c r="E88" s="1202"/>
      <c r="F88" s="1203"/>
      <c r="G88" s="1167" t="s">
        <v>591</v>
      </c>
      <c r="H88" s="955"/>
      <c r="I88" s="983"/>
      <c r="J88" s="981"/>
      <c r="K88" s="983"/>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row>
    <row r="89" spans="1:174" ht="15.75" customHeight="1" x14ac:dyDescent="0.25">
      <c r="A89" s="142"/>
      <c r="B89" s="142"/>
      <c r="C89" s="3"/>
      <c r="D89" s="3"/>
      <c r="E89" s="1202"/>
      <c r="F89" s="1203"/>
      <c r="G89" s="1014" t="s">
        <v>753</v>
      </c>
      <c r="H89" s="955"/>
      <c r="I89" s="981">
        <v>12951</v>
      </c>
      <c r="J89" s="981"/>
      <c r="K89" s="981">
        <v>12753</v>
      </c>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row>
    <row r="90" spans="1:174" ht="15.75" customHeight="1" x14ac:dyDescent="0.25">
      <c r="A90" s="142"/>
      <c r="B90" s="142"/>
      <c r="C90" s="3"/>
      <c r="D90" s="3"/>
      <c r="E90" s="1202"/>
      <c r="F90" s="1203"/>
      <c r="G90" s="1014" t="s">
        <v>382</v>
      </c>
      <c r="H90" s="955"/>
      <c r="I90" s="981">
        <v>-4808</v>
      </c>
      <c r="J90" s="981"/>
      <c r="K90" s="981">
        <v>-3958</v>
      </c>
      <c r="M90" s="599"/>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row>
    <row r="91" spans="1:174" ht="15.75" customHeight="1" x14ac:dyDescent="0.25">
      <c r="A91" s="142"/>
      <c r="B91" s="142"/>
      <c r="C91" s="3"/>
      <c r="D91" s="3"/>
      <c r="E91" s="1202"/>
      <c r="F91" s="1203"/>
      <c r="G91" s="1014"/>
      <c r="H91" s="955"/>
      <c r="I91" s="984">
        <f>SUM(I89:I90)</f>
        <v>8143</v>
      </c>
      <c r="J91" s="985"/>
      <c r="K91" s="984">
        <f>SUM(K89:K90)</f>
        <v>8795</v>
      </c>
      <c r="M91" s="599"/>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row>
    <row r="92" spans="1:174" ht="9.75" customHeight="1" x14ac:dyDescent="0.25">
      <c r="A92" s="142"/>
      <c r="B92" s="142"/>
      <c r="C92" s="3"/>
      <c r="D92" s="3"/>
      <c r="E92" s="1202"/>
      <c r="F92" s="1203"/>
      <c r="G92" s="1014"/>
      <c r="H92" s="955"/>
      <c r="I92" s="1217"/>
      <c r="J92" s="983"/>
      <c r="K92" s="1217"/>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row>
    <row r="93" spans="1:174" ht="15.75" customHeight="1" x14ac:dyDescent="0.25">
      <c r="A93" s="142"/>
      <c r="B93" s="142"/>
      <c r="C93" s="3"/>
      <c r="D93" s="15"/>
      <c r="E93" s="1202"/>
      <c r="F93" s="1203"/>
      <c r="G93" s="1167" t="s">
        <v>348</v>
      </c>
      <c r="H93" s="955"/>
      <c r="I93" s="983"/>
      <c r="J93" s="981"/>
      <c r="K93" s="983"/>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row>
    <row r="94" spans="1:174" ht="16.5" customHeight="1" x14ac:dyDescent="0.25">
      <c r="A94" s="142"/>
      <c r="B94" s="142"/>
      <c r="C94" s="3"/>
      <c r="D94" s="3"/>
      <c r="E94" s="1202"/>
      <c r="F94" s="1203"/>
      <c r="G94" s="1014" t="s">
        <v>754</v>
      </c>
      <c r="H94" s="955"/>
      <c r="I94" s="981">
        <v>72832</v>
      </c>
      <c r="J94" s="981"/>
      <c r="K94" s="981">
        <v>69107</v>
      </c>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row>
    <row r="95" spans="1:174" ht="16.5" customHeight="1" x14ac:dyDescent="0.25">
      <c r="A95" s="142"/>
      <c r="B95" s="142"/>
      <c r="C95" s="3"/>
      <c r="D95" s="3"/>
      <c r="E95" s="1202"/>
      <c r="F95" s="1203"/>
      <c r="G95" s="1014" t="s">
        <v>382</v>
      </c>
      <c r="H95" s="955"/>
      <c r="I95" s="981">
        <v>-31896</v>
      </c>
      <c r="J95" s="981"/>
      <c r="K95" s="981">
        <v>-29236</v>
      </c>
      <c r="M95" s="599"/>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row>
    <row r="96" spans="1:174" ht="16.5" customHeight="1" x14ac:dyDescent="0.25">
      <c r="A96" s="142"/>
      <c r="B96" s="142"/>
      <c r="C96" s="3"/>
      <c r="D96" s="3"/>
      <c r="E96" s="1202"/>
      <c r="F96" s="1203"/>
      <c r="G96" s="1014"/>
      <c r="H96" s="955"/>
      <c r="I96" s="984">
        <f>SUM(I94:I95)</f>
        <v>40936</v>
      </c>
      <c r="J96" s="985"/>
      <c r="K96" s="984">
        <f>SUM(K94:K95)</f>
        <v>39871</v>
      </c>
      <c r="M96" s="599"/>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row>
    <row r="97" spans="1:174" ht="15.75" customHeight="1" x14ac:dyDescent="0.25">
      <c r="A97" s="142"/>
      <c r="B97" s="142"/>
      <c r="C97" s="3"/>
      <c r="D97" s="15"/>
      <c r="E97" s="1202"/>
      <c r="F97" s="1203"/>
      <c r="G97" s="1167" t="s">
        <v>592</v>
      </c>
      <c r="H97" s="955"/>
      <c r="I97" s="972"/>
      <c r="J97" s="972"/>
      <c r="K97" s="972"/>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row>
    <row r="98" spans="1:174" ht="16.5" customHeight="1" x14ac:dyDescent="0.25">
      <c r="A98" s="142"/>
      <c r="B98" s="142"/>
      <c r="C98" s="3"/>
      <c r="D98" s="15"/>
      <c r="E98" s="1202"/>
      <c r="F98" s="1203"/>
      <c r="G98" s="1014" t="s">
        <v>754</v>
      </c>
      <c r="H98" s="955"/>
      <c r="I98" s="981">
        <v>0</v>
      </c>
      <c r="J98" s="981"/>
      <c r="K98" s="981">
        <v>0</v>
      </c>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row>
    <row r="99" spans="1:174" ht="16.5" customHeight="1" x14ac:dyDescent="0.25">
      <c r="A99" s="142"/>
      <c r="B99" s="142"/>
      <c r="C99" s="3"/>
      <c r="D99" s="15"/>
      <c r="E99" s="1202"/>
      <c r="F99" s="1203"/>
      <c r="G99" s="1014" t="s">
        <v>382</v>
      </c>
      <c r="H99" s="955"/>
      <c r="I99" s="981">
        <v>0</v>
      </c>
      <c r="J99" s="981"/>
      <c r="K99" s="981">
        <v>0</v>
      </c>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row>
    <row r="100" spans="1:174" ht="16.5" customHeight="1" x14ac:dyDescent="0.25">
      <c r="A100" s="142"/>
      <c r="B100" s="142"/>
      <c r="C100" s="3"/>
      <c r="D100" s="15"/>
      <c r="E100" s="1202"/>
      <c r="F100" s="1203"/>
      <c r="G100" s="1014"/>
      <c r="H100" s="955"/>
      <c r="I100" s="984">
        <f>SUM(I98:I99)</f>
        <v>0</v>
      </c>
      <c r="J100" s="985"/>
      <c r="K100" s="984">
        <f>SUM(K98:K99)</f>
        <v>0</v>
      </c>
      <c r="M100" s="599"/>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row>
    <row r="101" spans="1:174" ht="15.75" customHeight="1" x14ac:dyDescent="0.25">
      <c r="A101" s="142"/>
      <c r="B101" s="142"/>
      <c r="C101" s="3"/>
      <c r="D101" s="15"/>
      <c r="E101" s="1202"/>
      <c r="F101" s="1203"/>
      <c r="G101" s="1167" t="s">
        <v>457</v>
      </c>
      <c r="H101" s="955"/>
      <c r="I101" s="972"/>
      <c r="J101" s="972"/>
      <c r="K101" s="972"/>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row>
    <row r="102" spans="1:174" ht="16.5" customHeight="1" x14ac:dyDescent="0.25">
      <c r="A102" s="142"/>
      <c r="B102" s="142"/>
      <c r="C102" s="3"/>
      <c r="D102" s="15"/>
      <c r="E102" s="1202"/>
      <c r="F102" s="1203"/>
      <c r="G102" s="1014" t="s">
        <v>754</v>
      </c>
      <c r="H102" s="955"/>
      <c r="I102" s="981">
        <v>0</v>
      </c>
      <c r="J102" s="981"/>
      <c r="K102" s="981">
        <v>0</v>
      </c>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row>
    <row r="103" spans="1:174" ht="16.5" customHeight="1" x14ac:dyDescent="0.25">
      <c r="A103" s="142"/>
      <c r="B103" s="142"/>
      <c r="C103" s="3"/>
      <c r="D103" s="15"/>
      <c r="E103" s="1202"/>
      <c r="F103" s="1203"/>
      <c r="G103" s="1014" t="s">
        <v>382</v>
      </c>
      <c r="H103" s="955"/>
      <c r="I103" s="981">
        <v>0</v>
      </c>
      <c r="J103" s="981"/>
      <c r="K103" s="981">
        <v>0</v>
      </c>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row>
    <row r="104" spans="1:174" ht="15.75" customHeight="1" x14ac:dyDescent="0.25">
      <c r="A104" s="142"/>
      <c r="B104" s="142"/>
      <c r="C104" s="3"/>
      <c r="D104" s="3"/>
      <c r="E104" s="1202"/>
      <c r="F104" s="1203"/>
      <c r="G104" s="1218"/>
      <c r="H104" s="955"/>
      <c r="I104" s="984">
        <f>SUM(I102:I103)</f>
        <v>0</v>
      </c>
      <c r="J104" s="1208"/>
      <c r="K104" s="984">
        <f>SUM(K102:K103)</f>
        <v>0</v>
      </c>
      <c r="M104" s="599"/>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row>
    <row r="105" spans="1:174" ht="15.75" customHeight="1" x14ac:dyDescent="0.25">
      <c r="A105" s="254"/>
      <c r="B105" s="254"/>
      <c r="C105" s="246"/>
      <c r="D105" s="246"/>
      <c r="E105" s="1202"/>
      <c r="F105" s="1203"/>
      <c r="G105" s="1218"/>
      <c r="H105" s="955"/>
      <c r="I105" s="984"/>
      <c r="J105" s="1208"/>
      <c r="K105" s="984"/>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row>
    <row r="106" spans="1:174" ht="16.5" customHeight="1" x14ac:dyDescent="0.25">
      <c r="A106" s="142"/>
      <c r="B106" s="142"/>
      <c r="C106" s="3"/>
      <c r="E106" s="1202"/>
      <c r="F106" s="1203"/>
      <c r="G106" s="1219" t="s">
        <v>454</v>
      </c>
      <c r="H106" s="955"/>
      <c r="I106" s="984">
        <f>+I83+I87+I91+I96+I100+I104+I105</f>
        <v>220805</v>
      </c>
      <c r="J106" s="1209"/>
      <c r="K106" s="984">
        <f>+K83+K87+K91+K96+K100+K104+K105</f>
        <v>220739</v>
      </c>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row>
    <row r="107" spans="1:174" ht="16.5" customHeight="1" x14ac:dyDescent="0.25">
      <c r="A107" s="157"/>
      <c r="B107" s="157"/>
      <c r="C107" s="3"/>
      <c r="D107" s="3"/>
      <c r="E107" s="1202"/>
      <c r="F107" s="1203"/>
      <c r="G107" s="1014"/>
      <c r="H107" s="955"/>
      <c r="I107" s="981"/>
      <c r="J107" s="972"/>
      <c r="K107" s="981"/>
      <c r="L107" s="346"/>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row>
    <row r="108" spans="1:174" ht="16.5" customHeight="1" x14ac:dyDescent="0.25">
      <c r="A108" s="157">
        <v>116</v>
      </c>
      <c r="B108" s="157" t="s">
        <v>225</v>
      </c>
      <c r="C108" s="3"/>
      <c r="E108" s="1202"/>
      <c r="F108" s="1203"/>
      <c r="G108" s="1219" t="s">
        <v>143</v>
      </c>
      <c r="H108" s="955"/>
      <c r="I108" s="1220"/>
      <c r="J108" s="983"/>
      <c r="K108" s="1220"/>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row>
    <row r="109" spans="1:174" ht="16.5" customHeight="1" x14ac:dyDescent="0.25">
      <c r="A109" s="157"/>
      <c r="B109" s="157" t="s">
        <v>226</v>
      </c>
      <c r="C109" s="3"/>
      <c r="D109" s="3"/>
      <c r="E109" s="963"/>
      <c r="F109" s="986"/>
      <c r="G109" s="1014" t="s">
        <v>477</v>
      </c>
      <c r="H109" s="955"/>
      <c r="I109" s="981">
        <v>4165</v>
      </c>
      <c r="J109" s="981"/>
      <c r="K109" s="981">
        <v>5385</v>
      </c>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row>
    <row r="110" spans="1:174" ht="16.5" customHeight="1" x14ac:dyDescent="0.25">
      <c r="A110" s="157"/>
      <c r="B110" s="157"/>
      <c r="C110" s="3"/>
      <c r="D110" s="3"/>
      <c r="E110" s="963"/>
      <c r="F110" s="986"/>
      <c r="G110" s="1014" t="s">
        <v>478</v>
      </c>
      <c r="H110" s="955"/>
      <c r="I110" s="981">
        <v>2081</v>
      </c>
      <c r="J110" s="981"/>
      <c r="K110" s="981">
        <v>2692</v>
      </c>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row>
    <row r="111" spans="1:174" ht="14.4" x14ac:dyDescent="0.25">
      <c r="A111" s="157"/>
      <c r="B111" s="157"/>
      <c r="C111" s="3"/>
      <c r="D111" s="3"/>
      <c r="E111" s="963"/>
      <c r="F111" s="986"/>
      <c r="G111" s="1014" t="s">
        <v>479</v>
      </c>
      <c r="H111" s="955"/>
      <c r="I111" s="981">
        <v>694</v>
      </c>
      <c r="J111" s="981"/>
      <c r="K111" s="981">
        <v>897</v>
      </c>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row>
    <row r="112" spans="1:174" ht="14.4" x14ac:dyDescent="0.25">
      <c r="A112" s="157"/>
      <c r="B112" s="157"/>
      <c r="C112" s="3"/>
      <c r="E112" s="1202"/>
      <c r="F112" s="1203"/>
      <c r="G112" s="1219" t="s">
        <v>329</v>
      </c>
      <c r="H112" s="955"/>
      <c r="I112" s="984">
        <f>SUM(I109:I111)</f>
        <v>6940</v>
      </c>
      <c r="J112" s="1209"/>
      <c r="K112" s="984">
        <f>SUM(K109:K111)</f>
        <v>8974</v>
      </c>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row>
    <row r="113" spans="1:174" ht="14.4" x14ac:dyDescent="0.25">
      <c r="A113" s="157"/>
      <c r="B113" s="157"/>
      <c r="C113" s="3"/>
      <c r="D113" s="3"/>
      <c r="E113" s="1202"/>
      <c r="F113" s="1203"/>
      <c r="G113" s="1014"/>
      <c r="H113" s="955"/>
      <c r="I113" s="972"/>
      <c r="J113" s="972"/>
      <c r="K113" s="972"/>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row>
    <row r="114" spans="1:174" ht="16.5" customHeight="1" x14ac:dyDescent="0.3">
      <c r="A114" s="157"/>
      <c r="B114" s="157"/>
      <c r="C114" s="133"/>
      <c r="D114" s="133"/>
      <c r="E114" s="1221"/>
      <c r="F114" s="1222"/>
      <c r="G114" s="1206" t="s">
        <v>1402</v>
      </c>
      <c r="H114" s="955"/>
      <c r="I114" s="1223">
        <f>I112+I106+I76+I48</f>
        <v>510681</v>
      </c>
      <c r="J114" s="1209"/>
      <c r="K114" s="1223">
        <f>K112+K106+K76+K48</f>
        <v>499432</v>
      </c>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row>
    <row r="115" spans="1:174" ht="14.4" x14ac:dyDescent="0.25">
      <c r="A115" s="5"/>
      <c r="B115" s="5"/>
      <c r="C115" s="3"/>
      <c r="D115" s="3"/>
      <c r="E115" s="1202"/>
      <c r="F115" s="1203"/>
      <c r="G115" s="1203"/>
      <c r="H115" s="955"/>
      <c r="I115" s="962"/>
      <c r="J115" s="955"/>
      <c r="K115" s="962"/>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row>
    <row r="116" spans="1:174" x14ac:dyDescent="0.25">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row>
    <row r="117" spans="1:174" x14ac:dyDescent="0.25">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row>
    <row r="118" spans="1:174" x14ac:dyDescent="0.25">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row>
    <row r="119" spans="1:174" x14ac:dyDescent="0.25">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row>
    <row r="120" spans="1:174" x14ac:dyDescent="0.25">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row>
    <row r="121" spans="1:174" x14ac:dyDescent="0.25">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row>
    <row r="122" spans="1:174" x14ac:dyDescent="0.25">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row>
    <row r="123" spans="1:174" x14ac:dyDescent="0.25">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row>
    <row r="124" spans="1:174" x14ac:dyDescent="0.25">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row>
    <row r="125" spans="1:174" x14ac:dyDescent="0.25">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row>
    <row r="126" spans="1:174" x14ac:dyDescent="0.25">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row>
    <row r="127" spans="1:174" x14ac:dyDescent="0.25">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row>
    <row r="128" spans="1:174" x14ac:dyDescent="0.25">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row>
    <row r="129" spans="19:174" x14ac:dyDescent="0.25">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row>
    <row r="130" spans="19:174" x14ac:dyDescent="0.25">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row>
    <row r="131" spans="19:174" x14ac:dyDescent="0.25">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row>
    <row r="132" spans="19:174" x14ac:dyDescent="0.25">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row>
    <row r="133" spans="19:174" x14ac:dyDescent="0.25">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row>
    <row r="134" spans="19:174" x14ac:dyDescent="0.25">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row>
    <row r="135" spans="19:174" x14ac:dyDescent="0.25">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row>
    <row r="136" spans="19:174" x14ac:dyDescent="0.25">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row>
    <row r="137" spans="19:174" x14ac:dyDescent="0.25">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row>
    <row r="138" spans="19:174" x14ac:dyDescent="0.25">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row>
    <row r="139" spans="19:174" x14ac:dyDescent="0.25">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row>
    <row r="140" spans="19:174" x14ac:dyDescent="0.25">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row>
    <row r="141" spans="19:174" x14ac:dyDescent="0.25">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row>
    <row r="142" spans="19:174" x14ac:dyDescent="0.25">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row>
    <row r="143" spans="19:174" x14ac:dyDescent="0.25">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row>
    <row r="144" spans="19:174" x14ac:dyDescent="0.25">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row>
    <row r="145" spans="19:174" x14ac:dyDescent="0.25">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row>
    <row r="146" spans="19:174" x14ac:dyDescent="0.25">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row>
    <row r="147" spans="19:174" x14ac:dyDescent="0.25">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row>
    <row r="148" spans="19:174" x14ac:dyDescent="0.25">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row>
    <row r="149" spans="19:174" x14ac:dyDescent="0.25">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row>
    <row r="150" spans="19:174" x14ac:dyDescent="0.25">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row>
    <row r="151" spans="19:174" x14ac:dyDescent="0.25">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row>
    <row r="152" spans="19:174" x14ac:dyDescent="0.25">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row>
    <row r="153" spans="19:174" x14ac:dyDescent="0.25">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row>
    <row r="154" spans="19:174" x14ac:dyDescent="0.25">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row>
    <row r="155" spans="19:174" x14ac:dyDescent="0.25">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row>
    <row r="156" spans="19:174" x14ac:dyDescent="0.25">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row>
    <row r="157" spans="19:174" x14ac:dyDescent="0.25">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row>
    <row r="158" spans="19:174" x14ac:dyDescent="0.25">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row>
    <row r="159" spans="19:174" x14ac:dyDescent="0.25">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row>
    <row r="160" spans="19:174" x14ac:dyDescent="0.25">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row>
    <row r="161" spans="19:174" x14ac:dyDescent="0.25">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row>
    <row r="162" spans="19:174" x14ac:dyDescent="0.25">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row>
    <row r="163" spans="19:174" x14ac:dyDescent="0.25">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row>
    <row r="164" spans="19:174" x14ac:dyDescent="0.25">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row>
    <row r="165" spans="19:174" x14ac:dyDescent="0.25">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row>
    <row r="166" spans="19:174" x14ac:dyDescent="0.25">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row>
    <row r="167" spans="19:174" x14ac:dyDescent="0.25">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row>
    <row r="168" spans="19:174" x14ac:dyDescent="0.25">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row>
    <row r="169" spans="19:174" x14ac:dyDescent="0.25">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row>
    <row r="170" spans="19:174" x14ac:dyDescent="0.25">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row>
    <row r="171" spans="19:174" x14ac:dyDescent="0.25">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row>
    <row r="172" spans="19:174" x14ac:dyDescent="0.25">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row>
    <row r="173" spans="19:174" x14ac:dyDescent="0.25">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row>
    <row r="174" spans="19:174" x14ac:dyDescent="0.25">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row>
    <row r="175" spans="19:174" x14ac:dyDescent="0.25">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row>
    <row r="176" spans="19:174" x14ac:dyDescent="0.25">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row>
    <row r="177" spans="19:174" x14ac:dyDescent="0.25">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row>
    <row r="178" spans="19:174" x14ac:dyDescent="0.25">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row>
    <row r="179" spans="19:174" x14ac:dyDescent="0.25">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row>
    <row r="180" spans="19:174" x14ac:dyDescent="0.25">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row>
    <row r="181" spans="19:174" x14ac:dyDescent="0.25">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row>
    <row r="182" spans="19:174" x14ac:dyDescent="0.25">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row>
    <row r="183" spans="19:174" x14ac:dyDescent="0.25">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row>
    <row r="184" spans="19:174" x14ac:dyDescent="0.25">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row>
    <row r="185" spans="19:174" x14ac:dyDescent="0.25">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row>
    <row r="186" spans="19:174" x14ac:dyDescent="0.25">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row>
    <row r="187" spans="19:174" x14ac:dyDescent="0.25">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row>
    <row r="188" spans="19:174" x14ac:dyDescent="0.25">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row>
    <row r="189" spans="19:174" x14ac:dyDescent="0.25">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row>
    <row r="190" spans="19:174" x14ac:dyDescent="0.25">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row>
    <row r="191" spans="19:174" x14ac:dyDescent="0.25">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row>
    <row r="192" spans="19:174" x14ac:dyDescent="0.25">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row>
    <row r="193" spans="19:174" x14ac:dyDescent="0.25">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row>
    <row r="194" spans="19:174" x14ac:dyDescent="0.25">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row>
    <row r="195" spans="19:174" x14ac:dyDescent="0.25">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row>
    <row r="196" spans="19:174" x14ac:dyDescent="0.25">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row>
    <row r="197" spans="19:174" x14ac:dyDescent="0.25">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row>
    <row r="198" spans="19:174" x14ac:dyDescent="0.25">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row>
    <row r="199" spans="19:174" x14ac:dyDescent="0.25">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row>
    <row r="200" spans="19:174" x14ac:dyDescent="0.25">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row>
    <row r="201" spans="19:174" x14ac:dyDescent="0.25">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row>
    <row r="202" spans="19:174" x14ac:dyDescent="0.25">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row>
    <row r="203" spans="19:174" x14ac:dyDescent="0.25">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row>
    <row r="204" spans="19:174" x14ac:dyDescent="0.25">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row>
    <row r="205" spans="19:174" x14ac:dyDescent="0.25">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row>
    <row r="206" spans="19:174" x14ac:dyDescent="0.25">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row>
    <row r="207" spans="19:174" x14ac:dyDescent="0.25">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row>
    <row r="208" spans="19:174" x14ac:dyDescent="0.25">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row>
    <row r="209" spans="19:174" x14ac:dyDescent="0.25">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row>
    <row r="210" spans="19:174" x14ac:dyDescent="0.25">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row>
    <row r="211" spans="19:174" x14ac:dyDescent="0.25">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row>
    <row r="212" spans="19:174" x14ac:dyDescent="0.25">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row>
    <row r="213" spans="19:174" x14ac:dyDescent="0.25">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row>
    <row r="214" spans="19:174" x14ac:dyDescent="0.25">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row>
    <row r="215" spans="19:174" x14ac:dyDescent="0.25">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row>
    <row r="216" spans="19:174" x14ac:dyDescent="0.25">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row>
    <row r="217" spans="19:174" x14ac:dyDescent="0.25">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row>
    <row r="218" spans="19:174" x14ac:dyDescent="0.25">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row>
    <row r="219" spans="19:174" x14ac:dyDescent="0.25">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row>
    <row r="220" spans="19:174" x14ac:dyDescent="0.25">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row>
    <row r="221" spans="19:174" x14ac:dyDescent="0.25">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row>
    <row r="222" spans="19:174" x14ac:dyDescent="0.25">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row>
    <row r="223" spans="19:174" x14ac:dyDescent="0.25">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row>
    <row r="224" spans="19:174" x14ac:dyDescent="0.25">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row>
    <row r="225" spans="19:174" x14ac:dyDescent="0.25">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row>
    <row r="226" spans="19:174" x14ac:dyDescent="0.25">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row>
    <row r="227" spans="19:174" x14ac:dyDescent="0.25">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row>
    <row r="228" spans="19:174" x14ac:dyDescent="0.25">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row>
    <row r="229" spans="19:174" x14ac:dyDescent="0.25">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row>
    <row r="230" spans="19:174" x14ac:dyDescent="0.25">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row>
    <row r="231" spans="19:174" x14ac:dyDescent="0.25">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row>
    <row r="232" spans="19:174" x14ac:dyDescent="0.25">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row>
    <row r="233" spans="19:174" x14ac:dyDescent="0.25">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row>
    <row r="234" spans="19:174" x14ac:dyDescent="0.25">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row>
    <row r="235" spans="19:174" x14ac:dyDescent="0.25">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row>
    <row r="236" spans="19:174" x14ac:dyDescent="0.25">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row>
    <row r="237" spans="19:174" x14ac:dyDescent="0.25">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row>
    <row r="238" spans="19:174" x14ac:dyDescent="0.25">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row>
    <row r="239" spans="19:174" x14ac:dyDescent="0.25">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row>
    <row r="240" spans="19:174" x14ac:dyDescent="0.25">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row>
    <row r="241" spans="19:174" x14ac:dyDescent="0.25">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row>
    <row r="242" spans="19:174" x14ac:dyDescent="0.25">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row>
    <row r="243" spans="19:174" x14ac:dyDescent="0.25">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row>
    <row r="244" spans="19:174" x14ac:dyDescent="0.25">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row>
    <row r="245" spans="19:174" x14ac:dyDescent="0.25">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row>
    <row r="246" spans="19:174" x14ac:dyDescent="0.25">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row>
    <row r="247" spans="19:174" x14ac:dyDescent="0.25">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row>
    <row r="248" spans="19:174" x14ac:dyDescent="0.25">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row>
    <row r="249" spans="19:174" x14ac:dyDescent="0.25">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row>
    <row r="250" spans="19:174" x14ac:dyDescent="0.25">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row>
    <row r="251" spans="19:174" x14ac:dyDescent="0.25">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row>
    <row r="252" spans="19:174" x14ac:dyDescent="0.25">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row>
    <row r="253" spans="19:174" x14ac:dyDescent="0.25">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row>
    <row r="254" spans="19:174" x14ac:dyDescent="0.25">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row>
    <row r="255" spans="19:174" x14ac:dyDescent="0.25">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row>
    <row r="256" spans="19:174" x14ac:dyDescent="0.25">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row>
    <row r="257" spans="19:174" x14ac:dyDescent="0.25">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row>
    <row r="258" spans="19:174" x14ac:dyDescent="0.25">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row>
    <row r="259" spans="19:174" x14ac:dyDescent="0.25">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row>
    <row r="260" spans="19:174" x14ac:dyDescent="0.25">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row>
    <row r="261" spans="19:174" x14ac:dyDescent="0.25">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row>
    <row r="262" spans="19:174" x14ac:dyDescent="0.25">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row>
    <row r="263" spans="19:174" x14ac:dyDescent="0.25">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row>
    <row r="264" spans="19:174" x14ac:dyDescent="0.25">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row>
    <row r="265" spans="19:174" x14ac:dyDescent="0.25">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row>
    <row r="266" spans="19:174" x14ac:dyDescent="0.25">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row>
    <row r="267" spans="19:174" x14ac:dyDescent="0.25">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row>
    <row r="268" spans="19:174" x14ac:dyDescent="0.25">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row>
    <row r="269" spans="19:174" x14ac:dyDescent="0.25">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row>
    <row r="270" spans="19:174" x14ac:dyDescent="0.25">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row>
    <row r="271" spans="19:174" x14ac:dyDescent="0.25">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row>
    <row r="272" spans="19:174" x14ac:dyDescent="0.25">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row>
    <row r="273" spans="19:174" x14ac:dyDescent="0.25">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row>
    <row r="274" spans="19:174" x14ac:dyDescent="0.25">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row>
    <row r="275" spans="19:174" x14ac:dyDescent="0.25">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row>
    <row r="276" spans="19:174" x14ac:dyDescent="0.25">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row>
    <row r="277" spans="19:174" x14ac:dyDescent="0.25">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row>
    <row r="278" spans="19:174" x14ac:dyDescent="0.25">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row>
    <row r="279" spans="19:174" x14ac:dyDescent="0.25">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row>
    <row r="280" spans="19:174" x14ac:dyDescent="0.25">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row>
    <row r="281" spans="19:174" x14ac:dyDescent="0.25">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row>
    <row r="282" spans="19:174" x14ac:dyDescent="0.25">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row>
    <row r="283" spans="19:174" x14ac:dyDescent="0.25">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row>
    <row r="284" spans="19:174" x14ac:dyDescent="0.25">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row>
    <row r="285" spans="19:174" x14ac:dyDescent="0.25">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row>
    <row r="286" spans="19:174" x14ac:dyDescent="0.25">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row>
    <row r="287" spans="19:174" x14ac:dyDescent="0.25">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row>
    <row r="288" spans="19:174" x14ac:dyDescent="0.25">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row>
    <row r="289" spans="19:174" x14ac:dyDescent="0.25">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row>
    <row r="290" spans="19:174" x14ac:dyDescent="0.25">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row>
    <row r="291" spans="19:174" x14ac:dyDescent="0.25">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row>
    <row r="292" spans="19:174" x14ac:dyDescent="0.25">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row>
    <row r="293" spans="19:174" x14ac:dyDescent="0.25">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row>
    <row r="294" spans="19:174" x14ac:dyDescent="0.25">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row>
    <row r="295" spans="19:174" x14ac:dyDescent="0.25">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row>
    <row r="296" spans="19:174" x14ac:dyDescent="0.25">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row>
    <row r="297" spans="19:174" x14ac:dyDescent="0.25">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row>
    <row r="298" spans="19:174" x14ac:dyDescent="0.25">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row>
    <row r="299" spans="19:174" x14ac:dyDescent="0.25">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row>
    <row r="300" spans="19:174" x14ac:dyDescent="0.25">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row>
    <row r="301" spans="19:174" x14ac:dyDescent="0.25">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row>
    <row r="302" spans="19:174" x14ac:dyDescent="0.25">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row>
    <row r="303" spans="19:174" x14ac:dyDescent="0.25">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row>
    <row r="304" spans="19:174" x14ac:dyDescent="0.25">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row>
    <row r="305" spans="19:174" x14ac:dyDescent="0.25">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row>
    <row r="306" spans="19:174" x14ac:dyDescent="0.25">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row>
    <row r="307" spans="19:174" x14ac:dyDescent="0.25">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row>
    <row r="308" spans="19:174" x14ac:dyDescent="0.25">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row>
    <row r="309" spans="19:174" x14ac:dyDescent="0.25">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row>
    <row r="310" spans="19:174" x14ac:dyDescent="0.25">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row>
    <row r="311" spans="19:174" x14ac:dyDescent="0.25">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row>
    <row r="312" spans="19:174" x14ac:dyDescent="0.25">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row>
    <row r="313" spans="19:174" x14ac:dyDescent="0.25">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row>
    <row r="314" spans="19:174" x14ac:dyDescent="0.25">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row>
    <row r="315" spans="19:174" x14ac:dyDescent="0.25">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row>
    <row r="316" spans="19:174" x14ac:dyDescent="0.25">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row>
    <row r="317" spans="19:174" x14ac:dyDescent="0.25">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row>
    <row r="318" spans="19:174" x14ac:dyDescent="0.25">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row>
    <row r="319" spans="19:174" x14ac:dyDescent="0.25">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row>
    <row r="320" spans="19:174" x14ac:dyDescent="0.25">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row>
    <row r="321" spans="19:174" x14ac:dyDescent="0.25">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row>
    <row r="322" spans="19:174" x14ac:dyDescent="0.25">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row>
    <row r="323" spans="19:174" x14ac:dyDescent="0.25">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row>
    <row r="324" spans="19:174" x14ac:dyDescent="0.25">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row>
    <row r="325" spans="19:174" x14ac:dyDescent="0.25">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row>
    <row r="326" spans="19:174" x14ac:dyDescent="0.25">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row>
    <row r="327" spans="19:174" x14ac:dyDescent="0.25">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row>
    <row r="328" spans="19:174" x14ac:dyDescent="0.25">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row>
    <row r="329" spans="19:174" x14ac:dyDescent="0.25">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row>
    <row r="330" spans="19:174" x14ac:dyDescent="0.25">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row>
    <row r="331" spans="19:174" x14ac:dyDescent="0.25">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row>
    <row r="332" spans="19:174" x14ac:dyDescent="0.25">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row>
    <row r="333" spans="19:174" x14ac:dyDescent="0.25">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row>
    <row r="334" spans="19:174" x14ac:dyDescent="0.25">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row>
    <row r="335" spans="19:174" x14ac:dyDescent="0.25">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row>
    <row r="336" spans="19:174" x14ac:dyDescent="0.25">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row>
    <row r="337" spans="19:174" x14ac:dyDescent="0.25">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row>
    <row r="338" spans="19:174" x14ac:dyDescent="0.25">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row>
    <row r="339" spans="19:174" x14ac:dyDescent="0.25">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row>
    <row r="340" spans="19:174" x14ac:dyDescent="0.25">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row>
    <row r="341" spans="19:174" x14ac:dyDescent="0.25">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row>
    <row r="342" spans="19:174" x14ac:dyDescent="0.25">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row>
    <row r="343" spans="19:174" x14ac:dyDescent="0.25">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row>
    <row r="344" spans="19:174" x14ac:dyDescent="0.25">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row>
    <row r="345" spans="19:174" x14ac:dyDescent="0.25">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row>
    <row r="346" spans="19:174" x14ac:dyDescent="0.25">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row>
    <row r="347" spans="19:174" x14ac:dyDescent="0.25">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row>
    <row r="348" spans="19:174" x14ac:dyDescent="0.25">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row>
    <row r="349" spans="19:174" x14ac:dyDescent="0.25">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row>
    <row r="350" spans="19:174" x14ac:dyDescent="0.25">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row>
    <row r="351" spans="19:174" x14ac:dyDescent="0.25">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row>
    <row r="352" spans="19:174" x14ac:dyDescent="0.25">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row>
    <row r="353" spans="19:174" x14ac:dyDescent="0.25">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row>
    <row r="354" spans="19:174" x14ac:dyDescent="0.25">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row>
    <row r="355" spans="19:174" x14ac:dyDescent="0.25">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row>
    <row r="356" spans="19:174" x14ac:dyDescent="0.25">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row>
    <row r="357" spans="19:174" x14ac:dyDescent="0.25">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row>
    <row r="358" spans="19:174" x14ac:dyDescent="0.25">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row>
    <row r="359" spans="19:174" x14ac:dyDescent="0.25">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row>
    <row r="360" spans="19:174" x14ac:dyDescent="0.25">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row>
    <row r="361" spans="19:174" x14ac:dyDescent="0.25">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row>
    <row r="362" spans="19:174" x14ac:dyDescent="0.25">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row>
    <row r="363" spans="19:174" x14ac:dyDescent="0.25">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row>
    <row r="364" spans="19:174" x14ac:dyDescent="0.25">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row>
    <row r="365" spans="19:174" x14ac:dyDescent="0.25">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row>
    <row r="366" spans="19:174" x14ac:dyDescent="0.25">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row>
    <row r="367" spans="19:174" x14ac:dyDescent="0.25">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row>
    <row r="368" spans="19:174" x14ac:dyDescent="0.25">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row>
    <row r="369" spans="19:174" x14ac:dyDescent="0.25">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row>
    <row r="370" spans="19:174" x14ac:dyDescent="0.25">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row>
    <row r="371" spans="19:174" x14ac:dyDescent="0.25">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row>
    <row r="372" spans="19:174" x14ac:dyDescent="0.25">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row>
    <row r="373" spans="19:174" x14ac:dyDescent="0.25">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row>
    <row r="374" spans="19:174" x14ac:dyDescent="0.25">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row>
    <row r="375" spans="19:174" x14ac:dyDescent="0.25">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row>
    <row r="376" spans="19:174" x14ac:dyDescent="0.25">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row>
    <row r="377" spans="19:174" x14ac:dyDescent="0.25">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row>
    <row r="378" spans="19:174" x14ac:dyDescent="0.25">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row>
    <row r="379" spans="19:174" x14ac:dyDescent="0.25">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row>
    <row r="380" spans="19:174" x14ac:dyDescent="0.25">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row>
    <row r="381" spans="19:174" x14ac:dyDescent="0.25">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row>
    <row r="382" spans="19:174" x14ac:dyDescent="0.25">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row>
    <row r="383" spans="19:174" x14ac:dyDescent="0.25">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row>
    <row r="384" spans="19:174" x14ac:dyDescent="0.25">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row>
    <row r="385" spans="19:174" x14ac:dyDescent="0.25">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row>
    <row r="386" spans="19:174" x14ac:dyDescent="0.25">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row>
    <row r="387" spans="19:174" x14ac:dyDescent="0.25">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row>
    <row r="388" spans="19:174" x14ac:dyDescent="0.25">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row>
    <row r="389" spans="19:174" x14ac:dyDescent="0.25">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row>
    <row r="390" spans="19:174" x14ac:dyDescent="0.25">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row>
    <row r="391" spans="19:174" x14ac:dyDescent="0.25">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row>
    <row r="392" spans="19:174" x14ac:dyDescent="0.25">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row>
    <row r="393" spans="19:174" x14ac:dyDescent="0.25">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row>
    <row r="394" spans="19:174" x14ac:dyDescent="0.25">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row>
    <row r="395" spans="19:174" x14ac:dyDescent="0.25">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row>
    <row r="396" spans="19:174" x14ac:dyDescent="0.25">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row>
    <row r="397" spans="19:174" x14ac:dyDescent="0.25">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row>
    <row r="398" spans="19:174" x14ac:dyDescent="0.25">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row>
    <row r="399" spans="19:174" x14ac:dyDescent="0.25">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row>
    <row r="400" spans="19:174" x14ac:dyDescent="0.25">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row>
    <row r="401" spans="19:174" x14ac:dyDescent="0.25">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row>
    <row r="402" spans="19:174" x14ac:dyDescent="0.25">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row>
    <row r="403" spans="19:174" x14ac:dyDescent="0.25">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row>
    <row r="404" spans="19:174" x14ac:dyDescent="0.25">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row>
    <row r="405" spans="19:174" x14ac:dyDescent="0.25">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row>
    <row r="406" spans="19:174" x14ac:dyDescent="0.25">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row>
    <row r="407" spans="19:174" x14ac:dyDescent="0.25">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row>
    <row r="408" spans="19:174" x14ac:dyDescent="0.25">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row>
    <row r="409" spans="19:174" x14ac:dyDescent="0.25">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row>
    <row r="410" spans="19:174" x14ac:dyDescent="0.25">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row>
    <row r="411" spans="19:174" x14ac:dyDescent="0.25">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row>
    <row r="412" spans="19:174" x14ac:dyDescent="0.25">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row>
    <row r="413" spans="19:174" x14ac:dyDescent="0.25">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row>
    <row r="414" spans="19:174" x14ac:dyDescent="0.25">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row>
    <row r="415" spans="19:174" x14ac:dyDescent="0.25">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row>
    <row r="416" spans="19:174" x14ac:dyDescent="0.25">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row>
    <row r="417" spans="19:174" x14ac:dyDescent="0.25">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row>
    <row r="418" spans="19:174" x14ac:dyDescent="0.25">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row>
    <row r="419" spans="19:174" x14ac:dyDescent="0.25">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row>
    <row r="420" spans="19:174" x14ac:dyDescent="0.25">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row>
    <row r="421" spans="19:174" x14ac:dyDescent="0.25">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row>
    <row r="422" spans="19:174" x14ac:dyDescent="0.25">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row>
    <row r="423" spans="19:174" x14ac:dyDescent="0.25">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row>
    <row r="424" spans="19:174" x14ac:dyDescent="0.25">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row>
    <row r="425" spans="19:174" x14ac:dyDescent="0.25">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row>
    <row r="426" spans="19:174" x14ac:dyDescent="0.25">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row>
    <row r="427" spans="19:174" x14ac:dyDescent="0.25">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row>
    <row r="428" spans="19:174" x14ac:dyDescent="0.25">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row>
    <row r="429" spans="19:174" x14ac:dyDescent="0.25">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row>
    <row r="430" spans="19:174" x14ac:dyDescent="0.25">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row>
    <row r="431" spans="19:174" x14ac:dyDescent="0.25">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row>
    <row r="432" spans="19:174" x14ac:dyDescent="0.25">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row>
    <row r="433" spans="19:174" x14ac:dyDescent="0.25">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row>
    <row r="434" spans="19:174" x14ac:dyDescent="0.25">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row>
    <row r="435" spans="19:174" x14ac:dyDescent="0.25">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row>
    <row r="436" spans="19:174" x14ac:dyDescent="0.25">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row>
    <row r="437" spans="19:174" x14ac:dyDescent="0.25">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row>
    <row r="438" spans="19:174" x14ac:dyDescent="0.25">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row>
    <row r="439" spans="19:174" x14ac:dyDescent="0.25">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row>
    <row r="440" spans="19:174" x14ac:dyDescent="0.25">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row>
    <row r="441" spans="19:174" x14ac:dyDescent="0.25">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row>
    <row r="442" spans="19:174" x14ac:dyDescent="0.25">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row>
    <row r="443" spans="19:174" x14ac:dyDescent="0.25">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row>
    <row r="444" spans="19:174" x14ac:dyDescent="0.25">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row>
    <row r="445" spans="19:174" x14ac:dyDescent="0.25">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row>
    <row r="446" spans="19:174" x14ac:dyDescent="0.25">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row>
    <row r="447" spans="19:174" x14ac:dyDescent="0.25">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row>
    <row r="448" spans="19:174" x14ac:dyDescent="0.25">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row>
    <row r="449" spans="19:174" x14ac:dyDescent="0.25">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row>
    <row r="450" spans="19:174" x14ac:dyDescent="0.25">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row>
    <row r="451" spans="19:174" x14ac:dyDescent="0.25">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row>
    <row r="452" spans="19:174" x14ac:dyDescent="0.25">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row>
    <row r="453" spans="19:174" x14ac:dyDescent="0.25">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row>
    <row r="454" spans="19:174" x14ac:dyDescent="0.25">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row>
    <row r="455" spans="19:174" x14ac:dyDescent="0.25">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row>
    <row r="456" spans="19:174" x14ac:dyDescent="0.25">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row>
    <row r="457" spans="19:174" x14ac:dyDescent="0.25">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row>
    <row r="458" spans="19:174" x14ac:dyDescent="0.25">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row>
    <row r="459" spans="19:174" x14ac:dyDescent="0.25">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row>
    <row r="460" spans="19:174" x14ac:dyDescent="0.25">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row>
    <row r="461" spans="19:174" x14ac:dyDescent="0.25">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row>
    <row r="462" spans="19:174" x14ac:dyDescent="0.25">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row>
    <row r="463" spans="19:174" x14ac:dyDescent="0.25">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row>
    <row r="464" spans="19:174" x14ac:dyDescent="0.25">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row>
    <row r="465" spans="19:174" x14ac:dyDescent="0.25">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row>
    <row r="466" spans="19:174" x14ac:dyDescent="0.25">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row>
    <row r="467" spans="19:174" x14ac:dyDescent="0.25">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row>
    <row r="468" spans="19:174" x14ac:dyDescent="0.25">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row>
    <row r="469" spans="19:174" x14ac:dyDescent="0.25">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row>
    <row r="470" spans="19:174" x14ac:dyDescent="0.25">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row>
    <row r="471" spans="19:174" x14ac:dyDescent="0.25">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row>
    <row r="472" spans="19:174" x14ac:dyDescent="0.25">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row>
    <row r="473" spans="19:174" x14ac:dyDescent="0.25">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row>
    <row r="474" spans="19:174" x14ac:dyDescent="0.25">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row>
    <row r="475" spans="19:174" x14ac:dyDescent="0.25">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row>
    <row r="476" spans="19:174" x14ac:dyDescent="0.25">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row>
    <row r="477" spans="19:174" x14ac:dyDescent="0.25">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row>
    <row r="478" spans="19:174" x14ac:dyDescent="0.25">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row>
    <row r="479" spans="19:174" x14ac:dyDescent="0.25">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row>
    <row r="480" spans="19:174" x14ac:dyDescent="0.25">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row>
    <row r="481" spans="19:174" x14ac:dyDescent="0.25">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row>
    <row r="482" spans="19:174" x14ac:dyDescent="0.25">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row>
    <row r="483" spans="19:174" x14ac:dyDescent="0.25">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row>
    <row r="484" spans="19:174" x14ac:dyDescent="0.25">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row>
    <row r="485" spans="19:174" x14ac:dyDescent="0.25">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row>
    <row r="486" spans="19:174" x14ac:dyDescent="0.25">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row>
    <row r="487" spans="19:174" x14ac:dyDescent="0.25">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row>
    <row r="488" spans="19:174" x14ac:dyDescent="0.25">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row>
    <row r="489" spans="19:174" x14ac:dyDescent="0.25">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row>
    <row r="490" spans="19:174" x14ac:dyDescent="0.25">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row>
    <row r="491" spans="19:174" x14ac:dyDescent="0.25">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row>
    <row r="492" spans="19:174" x14ac:dyDescent="0.25">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row>
    <row r="493" spans="19:174" x14ac:dyDescent="0.25">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row>
    <row r="494" spans="19:174" x14ac:dyDescent="0.25">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row>
    <row r="495" spans="19:174" x14ac:dyDescent="0.25">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row>
    <row r="496" spans="19:174" x14ac:dyDescent="0.25">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row>
    <row r="497" spans="19:174" x14ac:dyDescent="0.25">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row>
    <row r="498" spans="19:174" x14ac:dyDescent="0.25">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row>
    <row r="499" spans="19:174" x14ac:dyDescent="0.25">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row>
    <row r="500" spans="19:174" x14ac:dyDescent="0.25">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row>
    <row r="501" spans="19:174" x14ac:dyDescent="0.25">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row>
    <row r="502" spans="19:174" x14ac:dyDescent="0.25">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row>
    <row r="503" spans="19:174" x14ac:dyDescent="0.25">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row>
    <row r="504" spans="19:174" x14ac:dyDescent="0.25">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row>
    <row r="505" spans="19:174" x14ac:dyDescent="0.25">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row>
    <row r="506" spans="19:174" x14ac:dyDescent="0.25">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row>
    <row r="507" spans="19:174" x14ac:dyDescent="0.25">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row>
    <row r="508" spans="19:174" x14ac:dyDescent="0.25">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row>
    <row r="509" spans="19:174" x14ac:dyDescent="0.25">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row>
    <row r="510" spans="19:174" x14ac:dyDescent="0.25">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row>
    <row r="511" spans="19:174" x14ac:dyDescent="0.25">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row>
    <row r="512" spans="19:174" x14ac:dyDescent="0.25">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row>
    <row r="513" spans="19:174" x14ac:dyDescent="0.25">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row>
    <row r="514" spans="19:174" x14ac:dyDescent="0.25">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row>
    <row r="515" spans="19:174" x14ac:dyDescent="0.25">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row>
    <row r="516" spans="19:174" x14ac:dyDescent="0.25">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row>
    <row r="517" spans="19:174" x14ac:dyDescent="0.25">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row>
    <row r="518" spans="19:174" x14ac:dyDescent="0.25">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row>
    <row r="519" spans="19:174" x14ac:dyDescent="0.25">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row>
    <row r="520" spans="19:174" x14ac:dyDescent="0.25">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row>
    <row r="521" spans="19:174" x14ac:dyDescent="0.25">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row>
    <row r="522" spans="19:174" x14ac:dyDescent="0.25">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row>
    <row r="523" spans="19:174" x14ac:dyDescent="0.25">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row>
    <row r="524" spans="19:174" x14ac:dyDescent="0.25">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row>
    <row r="525" spans="19:174" x14ac:dyDescent="0.25">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row>
    <row r="526" spans="19:174" x14ac:dyDescent="0.25">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row>
    <row r="527" spans="19:174" x14ac:dyDescent="0.25">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row>
    <row r="528" spans="19:174" x14ac:dyDescent="0.25">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row>
    <row r="529" spans="19:174" x14ac:dyDescent="0.25">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row>
    <row r="530" spans="19:174" x14ac:dyDescent="0.25">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row>
    <row r="531" spans="19:174" x14ac:dyDescent="0.25">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row>
    <row r="532" spans="19:174" x14ac:dyDescent="0.25">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row>
    <row r="533" spans="19:174" x14ac:dyDescent="0.25">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row>
    <row r="534" spans="19:174" x14ac:dyDescent="0.25">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row>
    <row r="535" spans="19:174" x14ac:dyDescent="0.25">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row>
    <row r="536" spans="19:174" x14ac:dyDescent="0.25">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row>
    <row r="537" spans="19:174" x14ac:dyDescent="0.25">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row>
    <row r="538" spans="19:174" x14ac:dyDescent="0.25">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row>
    <row r="539" spans="19:174" x14ac:dyDescent="0.25">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row>
    <row r="540" spans="19:174" x14ac:dyDescent="0.25">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row>
    <row r="541" spans="19:174" x14ac:dyDescent="0.25">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row>
    <row r="542" spans="19:174" x14ac:dyDescent="0.25">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row>
    <row r="543" spans="19:174" x14ac:dyDescent="0.25">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row>
    <row r="544" spans="19:174" x14ac:dyDescent="0.25">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row>
    <row r="545" spans="19:174" x14ac:dyDescent="0.25">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row>
    <row r="546" spans="19:174" x14ac:dyDescent="0.25">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row>
    <row r="547" spans="19:174" x14ac:dyDescent="0.25">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row>
    <row r="548" spans="19:174" x14ac:dyDescent="0.25">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row>
    <row r="549" spans="19:174" x14ac:dyDescent="0.25">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row>
    <row r="550" spans="19:174" x14ac:dyDescent="0.25">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row>
    <row r="551" spans="19:174" x14ac:dyDescent="0.25">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row>
    <row r="552" spans="19:174" x14ac:dyDescent="0.25">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row>
    <row r="553" spans="19:174" x14ac:dyDescent="0.25">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row>
    <row r="554" spans="19:174" x14ac:dyDescent="0.25">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row>
    <row r="555" spans="19:174" x14ac:dyDescent="0.25">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row>
    <row r="556" spans="19:174" x14ac:dyDescent="0.25">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row>
    <row r="557" spans="19:174" x14ac:dyDescent="0.25">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row>
    <row r="558" spans="19:174" x14ac:dyDescent="0.25">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row>
    <row r="559" spans="19:174" x14ac:dyDescent="0.25">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row>
    <row r="560" spans="19:174" x14ac:dyDescent="0.25">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row>
    <row r="561" spans="19:174" x14ac:dyDescent="0.25">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row>
    <row r="562" spans="19:174" x14ac:dyDescent="0.25">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row>
    <row r="563" spans="19:174" x14ac:dyDescent="0.25">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row>
    <row r="564" spans="19:174" x14ac:dyDescent="0.25">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row>
    <row r="565" spans="19:174" x14ac:dyDescent="0.25">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row>
    <row r="566" spans="19:174" x14ac:dyDescent="0.25">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row>
    <row r="567" spans="19:174" x14ac:dyDescent="0.25">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row>
    <row r="568" spans="19:174" x14ac:dyDescent="0.25">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row>
    <row r="569" spans="19:174" x14ac:dyDescent="0.25">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row>
    <row r="570" spans="19:174" x14ac:dyDescent="0.25">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row>
    <row r="571" spans="19:174" x14ac:dyDescent="0.25">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row>
    <row r="572" spans="19:174" x14ac:dyDescent="0.25">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row>
    <row r="573" spans="19:174" x14ac:dyDescent="0.25">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row>
    <row r="574" spans="19:174" x14ac:dyDescent="0.25">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row>
    <row r="575" spans="19:174" x14ac:dyDescent="0.25">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row>
    <row r="576" spans="19:174" x14ac:dyDescent="0.25">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row>
    <row r="577" spans="19:174" x14ac:dyDescent="0.25">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row>
    <row r="578" spans="19:174" x14ac:dyDescent="0.25">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row>
    <row r="579" spans="19:174" x14ac:dyDescent="0.25">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row>
    <row r="580" spans="19:174" x14ac:dyDescent="0.25">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row>
    <row r="581" spans="19:174" x14ac:dyDescent="0.25">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row>
    <row r="582" spans="19:174" x14ac:dyDescent="0.25">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row>
    <row r="583" spans="19:174" x14ac:dyDescent="0.25">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row>
    <row r="584" spans="19:174" x14ac:dyDescent="0.25">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row>
    <row r="585" spans="19:174" x14ac:dyDescent="0.25">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row>
    <row r="586" spans="19:174" x14ac:dyDescent="0.25">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row>
    <row r="587" spans="19:174" x14ac:dyDescent="0.25">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row>
    <row r="588" spans="19:174" x14ac:dyDescent="0.25">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row>
    <row r="589" spans="19:174" x14ac:dyDescent="0.25">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row>
    <row r="590" spans="19:174" x14ac:dyDescent="0.25">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row>
    <row r="591" spans="19:174" x14ac:dyDescent="0.25">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row>
    <row r="592" spans="19:174" x14ac:dyDescent="0.25">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row>
    <row r="593" spans="19:174" x14ac:dyDescent="0.25">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row>
    <row r="594" spans="19:174" x14ac:dyDescent="0.25">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row>
    <row r="595" spans="19:174" x14ac:dyDescent="0.25">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row>
    <row r="596" spans="19:174" x14ac:dyDescent="0.25">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row>
    <row r="597" spans="19:174" x14ac:dyDescent="0.25">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row>
    <row r="598" spans="19:174" x14ac:dyDescent="0.25">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row>
    <row r="599" spans="19:174" x14ac:dyDescent="0.25">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row>
    <row r="600" spans="19:174" x14ac:dyDescent="0.25">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row>
    <row r="601" spans="19:174" x14ac:dyDescent="0.25">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row>
    <row r="602" spans="19:174" x14ac:dyDescent="0.25">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row>
    <row r="603" spans="19:174" x14ac:dyDescent="0.25">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row>
    <row r="604" spans="19:174" x14ac:dyDescent="0.25">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row>
    <row r="605" spans="19:174" x14ac:dyDescent="0.25">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row>
    <row r="606" spans="19:174" x14ac:dyDescent="0.25">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row>
    <row r="607" spans="19:174" x14ac:dyDescent="0.25">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row>
    <row r="608" spans="19:174" x14ac:dyDescent="0.25">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row>
    <row r="609" spans="19:174" x14ac:dyDescent="0.25">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row>
    <row r="610" spans="19:174" x14ac:dyDescent="0.25">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row>
    <row r="611" spans="19:174" x14ac:dyDescent="0.25">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row>
    <row r="612" spans="19:174" x14ac:dyDescent="0.25">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row>
    <row r="613" spans="19:174" x14ac:dyDescent="0.25">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row>
    <row r="614" spans="19:174" x14ac:dyDescent="0.25">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row>
    <row r="615" spans="19:174" x14ac:dyDescent="0.25">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row>
    <row r="616" spans="19:174" x14ac:dyDescent="0.25">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row>
    <row r="617" spans="19:174" x14ac:dyDescent="0.25">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row>
    <row r="618" spans="19:174" x14ac:dyDescent="0.25">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row>
    <row r="619" spans="19:174" x14ac:dyDescent="0.25">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row>
    <row r="620" spans="19:174" x14ac:dyDescent="0.25">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row>
    <row r="621" spans="19:174" x14ac:dyDescent="0.25">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row>
    <row r="622" spans="19:174" x14ac:dyDescent="0.25">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row>
    <row r="623" spans="19:174" x14ac:dyDescent="0.25">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row>
    <row r="624" spans="19:174" x14ac:dyDescent="0.25">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row>
    <row r="625" spans="19:174" x14ac:dyDescent="0.25">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row>
    <row r="626" spans="19:174" x14ac:dyDescent="0.25">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row>
    <row r="627" spans="19:174" x14ac:dyDescent="0.25">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row>
    <row r="628" spans="19:174" x14ac:dyDescent="0.25">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row>
    <row r="629" spans="19:174" x14ac:dyDescent="0.25">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row>
    <row r="630" spans="19:174" x14ac:dyDescent="0.25">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row>
    <row r="631" spans="19:174" x14ac:dyDescent="0.25">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row>
    <row r="632" spans="19:174" x14ac:dyDescent="0.25">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row>
    <row r="633" spans="19:174" x14ac:dyDescent="0.25">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row>
    <row r="634" spans="19:174" x14ac:dyDescent="0.25">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row>
    <row r="635" spans="19:174" x14ac:dyDescent="0.25">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row>
    <row r="636" spans="19:174" x14ac:dyDescent="0.25">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row>
    <row r="637" spans="19:174" x14ac:dyDescent="0.25">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row>
    <row r="638" spans="19:174" x14ac:dyDescent="0.25">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row>
    <row r="639" spans="19:174" x14ac:dyDescent="0.25">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row>
    <row r="640" spans="19:174" x14ac:dyDescent="0.25">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row>
    <row r="641" spans="19:174" x14ac:dyDescent="0.25">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row>
    <row r="642" spans="19:174" x14ac:dyDescent="0.25">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row>
    <row r="643" spans="19:174" x14ac:dyDescent="0.25">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row>
    <row r="644" spans="19:174" x14ac:dyDescent="0.25">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row>
    <row r="645" spans="19:174" x14ac:dyDescent="0.25">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row>
    <row r="646" spans="19:174" x14ac:dyDescent="0.25">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row>
    <row r="647" spans="19:174" x14ac:dyDescent="0.25">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row>
    <row r="648" spans="19:174" x14ac:dyDescent="0.25">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row>
    <row r="649" spans="19:174" x14ac:dyDescent="0.25">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row>
    <row r="650" spans="19:174" x14ac:dyDescent="0.25">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row>
    <row r="651" spans="19:174" x14ac:dyDescent="0.25">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row>
    <row r="652" spans="19:174" x14ac:dyDescent="0.25">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row>
    <row r="653" spans="19:174" x14ac:dyDescent="0.25">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row>
    <row r="654" spans="19:174" x14ac:dyDescent="0.25">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row>
    <row r="655" spans="19:174" x14ac:dyDescent="0.25">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row>
    <row r="656" spans="19:174" x14ac:dyDescent="0.25">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row>
    <row r="657" spans="19:174" x14ac:dyDescent="0.25">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row>
    <row r="658" spans="19:174" x14ac:dyDescent="0.25">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row>
    <row r="659" spans="19:174" x14ac:dyDescent="0.25">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row>
    <row r="660" spans="19:174" x14ac:dyDescent="0.25">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row>
    <row r="661" spans="19:174" x14ac:dyDescent="0.25">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row>
    <row r="662" spans="19:174" x14ac:dyDescent="0.25">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row>
    <row r="663" spans="19:174" x14ac:dyDescent="0.25">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row>
    <row r="664" spans="19:174" x14ac:dyDescent="0.25">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row>
    <row r="665" spans="19:174" x14ac:dyDescent="0.25">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row>
    <row r="666" spans="19:174" x14ac:dyDescent="0.25">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row>
    <row r="667" spans="19:174" x14ac:dyDescent="0.25">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row>
    <row r="668" spans="19:174" x14ac:dyDescent="0.25">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row>
    <row r="669" spans="19:174" x14ac:dyDescent="0.25">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row>
    <row r="670" spans="19:174" x14ac:dyDescent="0.25">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row>
    <row r="671" spans="19:174" x14ac:dyDescent="0.25">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row>
    <row r="672" spans="19:174" x14ac:dyDescent="0.25">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row>
    <row r="673" spans="19:174" x14ac:dyDescent="0.25">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row>
    <row r="674" spans="19:174" x14ac:dyDescent="0.25">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row>
    <row r="675" spans="19:174" x14ac:dyDescent="0.25">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row>
    <row r="676" spans="19:174" x14ac:dyDescent="0.25">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row>
    <row r="677" spans="19:174" x14ac:dyDescent="0.25">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row>
    <row r="678" spans="19:174" x14ac:dyDescent="0.25">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row>
    <row r="679" spans="19:174" x14ac:dyDescent="0.25">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row>
    <row r="680" spans="19:174" x14ac:dyDescent="0.25">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row>
    <row r="681" spans="19:174" x14ac:dyDescent="0.25">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row>
    <row r="682" spans="19:174" x14ac:dyDescent="0.25">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row>
    <row r="683" spans="19:174" x14ac:dyDescent="0.25">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row>
    <row r="684" spans="19:174" x14ac:dyDescent="0.25">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row>
    <row r="685" spans="19:174" x14ac:dyDescent="0.25">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row>
    <row r="686" spans="19:174" x14ac:dyDescent="0.25">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row>
    <row r="687" spans="19:174" x14ac:dyDescent="0.25">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row>
    <row r="688" spans="19:174" x14ac:dyDescent="0.25">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row>
    <row r="689" spans="19:174" x14ac:dyDescent="0.25">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row>
    <row r="690" spans="19:174" x14ac:dyDescent="0.25">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row>
    <row r="691" spans="19:174" x14ac:dyDescent="0.25">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row>
    <row r="692" spans="19:174" x14ac:dyDescent="0.25">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row>
    <row r="693" spans="19:174" x14ac:dyDescent="0.25">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row>
    <row r="694" spans="19:174" x14ac:dyDescent="0.25">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row>
    <row r="695" spans="19:174" x14ac:dyDescent="0.25">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row>
    <row r="696" spans="19:174" x14ac:dyDescent="0.25">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row>
    <row r="697" spans="19:174" x14ac:dyDescent="0.25">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row>
    <row r="698" spans="19:174" x14ac:dyDescent="0.25">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row>
    <row r="699" spans="19:174" x14ac:dyDescent="0.25">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row>
    <row r="700" spans="19:174" x14ac:dyDescent="0.25">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row>
    <row r="701" spans="19:174" x14ac:dyDescent="0.25">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row>
    <row r="702" spans="19:174" x14ac:dyDescent="0.25">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row>
    <row r="703" spans="19:174" x14ac:dyDescent="0.25">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row>
    <row r="704" spans="19:174" x14ac:dyDescent="0.25">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row>
    <row r="705" spans="19:174" x14ac:dyDescent="0.25">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row>
    <row r="706" spans="19:174" x14ac:dyDescent="0.25">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row>
    <row r="707" spans="19:174" x14ac:dyDescent="0.25">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row>
    <row r="708" spans="19:174" x14ac:dyDescent="0.25">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row>
    <row r="709" spans="19:174" x14ac:dyDescent="0.25">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row>
    <row r="710" spans="19:174" x14ac:dyDescent="0.25">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row>
    <row r="711" spans="19:174" x14ac:dyDescent="0.25">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row>
    <row r="712" spans="19:174" x14ac:dyDescent="0.25">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row>
    <row r="713" spans="19:174" x14ac:dyDescent="0.25">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row>
    <row r="714" spans="19:174" x14ac:dyDescent="0.25">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row>
    <row r="715" spans="19:174" x14ac:dyDescent="0.25">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row>
    <row r="716" spans="19:174" x14ac:dyDescent="0.25">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row>
    <row r="717" spans="19:174" x14ac:dyDescent="0.25">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row>
    <row r="718" spans="19:174" x14ac:dyDescent="0.25">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row>
    <row r="719" spans="19:174" x14ac:dyDescent="0.25">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row>
    <row r="720" spans="19:174" x14ac:dyDescent="0.25">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row>
    <row r="721" spans="19:174" x14ac:dyDescent="0.25">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row>
    <row r="722" spans="19:174" x14ac:dyDescent="0.25">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row>
    <row r="723" spans="19:174" x14ac:dyDescent="0.25">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row>
    <row r="724" spans="19:174" x14ac:dyDescent="0.25">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row>
    <row r="725" spans="19:174" x14ac:dyDescent="0.25">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row>
    <row r="726" spans="19:174" x14ac:dyDescent="0.25">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row>
    <row r="727" spans="19:174" x14ac:dyDescent="0.25">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row>
    <row r="728" spans="19:174" x14ac:dyDescent="0.25">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row>
    <row r="729" spans="19:174" x14ac:dyDescent="0.25">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row>
    <row r="730" spans="19:174" x14ac:dyDescent="0.25">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row>
    <row r="731" spans="19:174" x14ac:dyDescent="0.25">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row>
    <row r="732" spans="19:174" x14ac:dyDescent="0.25">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row>
    <row r="733" spans="19:174" x14ac:dyDescent="0.25">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row>
    <row r="734" spans="19:174" x14ac:dyDescent="0.25">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row>
    <row r="735" spans="19:174" x14ac:dyDescent="0.25">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row>
    <row r="736" spans="19:174" x14ac:dyDescent="0.25">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row>
    <row r="737" spans="19:174" x14ac:dyDescent="0.25">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row>
    <row r="738" spans="19:174" x14ac:dyDescent="0.25">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row>
    <row r="739" spans="19:174" x14ac:dyDescent="0.25">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row>
    <row r="740" spans="19:174" x14ac:dyDescent="0.25">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row>
    <row r="741" spans="19:174" x14ac:dyDescent="0.25">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row>
    <row r="742" spans="19:174" x14ac:dyDescent="0.25">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row>
    <row r="743" spans="19:174" x14ac:dyDescent="0.25">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row>
    <row r="744" spans="19:174" x14ac:dyDescent="0.25">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row>
    <row r="745" spans="19:174" x14ac:dyDescent="0.25">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row>
    <row r="746" spans="19:174" x14ac:dyDescent="0.25">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row>
    <row r="747" spans="19:174" x14ac:dyDescent="0.25">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row>
    <row r="748" spans="19:174" x14ac:dyDescent="0.25">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row>
    <row r="749" spans="19:174" x14ac:dyDescent="0.25">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row>
    <row r="750" spans="19:174" x14ac:dyDescent="0.25">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row>
    <row r="751" spans="19:174" x14ac:dyDescent="0.25">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row>
    <row r="752" spans="19:174" x14ac:dyDescent="0.25">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row>
    <row r="753" spans="19:174" x14ac:dyDescent="0.25">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row>
    <row r="754" spans="19:174" x14ac:dyDescent="0.25">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row>
    <row r="755" spans="19:174" x14ac:dyDescent="0.25">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row>
    <row r="756" spans="19:174" x14ac:dyDescent="0.25">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row>
    <row r="757" spans="19:174" x14ac:dyDescent="0.25">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row>
    <row r="758" spans="19:174" x14ac:dyDescent="0.25">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row>
    <row r="759" spans="19:174" x14ac:dyDescent="0.25">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row>
    <row r="760" spans="19:174" x14ac:dyDescent="0.25">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row>
    <row r="761" spans="19:174" x14ac:dyDescent="0.25">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row>
    <row r="762" spans="19:174" x14ac:dyDescent="0.25">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row>
    <row r="763" spans="19:174" x14ac:dyDescent="0.25">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row>
    <row r="764" spans="19:174" x14ac:dyDescent="0.25">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row>
    <row r="765" spans="19:174" x14ac:dyDescent="0.25">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row>
    <row r="766" spans="19:174" x14ac:dyDescent="0.25">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row>
    <row r="767" spans="19:174" x14ac:dyDescent="0.25">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row>
    <row r="768" spans="19:174" x14ac:dyDescent="0.25">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row>
    <row r="769" spans="19:174" x14ac:dyDescent="0.25">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row>
    <row r="770" spans="19:174" x14ac:dyDescent="0.25">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row>
    <row r="771" spans="19:174" x14ac:dyDescent="0.25">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row>
    <row r="772" spans="19:174" x14ac:dyDescent="0.25">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row>
    <row r="773" spans="19:174" x14ac:dyDescent="0.25">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row>
    <row r="774" spans="19:174" x14ac:dyDescent="0.25">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row>
    <row r="775" spans="19:174" x14ac:dyDescent="0.25">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row>
    <row r="776" spans="19:174" x14ac:dyDescent="0.25">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row>
    <row r="777" spans="19:174" x14ac:dyDescent="0.25">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row>
    <row r="778" spans="19:174" x14ac:dyDescent="0.25">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row>
    <row r="779" spans="19:174" x14ac:dyDescent="0.25">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row>
    <row r="780" spans="19:174" x14ac:dyDescent="0.25">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row>
    <row r="781" spans="19:174" x14ac:dyDescent="0.25">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row>
    <row r="782" spans="19:174" x14ac:dyDescent="0.25">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row>
    <row r="783" spans="19:174" x14ac:dyDescent="0.25">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row>
    <row r="784" spans="19:174" x14ac:dyDescent="0.25">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row>
    <row r="785" spans="19:174" x14ac:dyDescent="0.25">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row>
    <row r="786" spans="19:174" x14ac:dyDescent="0.25">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row>
    <row r="787" spans="19:174" x14ac:dyDescent="0.25">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row>
    <row r="788" spans="19:174" x14ac:dyDescent="0.25">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row>
    <row r="789" spans="19:174" x14ac:dyDescent="0.25">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row>
    <row r="790" spans="19:174" x14ac:dyDescent="0.25">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row>
    <row r="791" spans="19:174" x14ac:dyDescent="0.25">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row>
    <row r="792" spans="19:174" x14ac:dyDescent="0.25">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row>
    <row r="793" spans="19:174" x14ac:dyDescent="0.25">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row>
    <row r="794" spans="19:174" x14ac:dyDescent="0.25">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row>
    <row r="795" spans="19:174" x14ac:dyDescent="0.25">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row>
    <row r="796" spans="19:174" x14ac:dyDescent="0.25">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row>
    <row r="797" spans="19:174" x14ac:dyDescent="0.25">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row>
    <row r="798" spans="19:174" x14ac:dyDescent="0.25">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row>
    <row r="799" spans="19:174" x14ac:dyDescent="0.25">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row>
    <row r="800" spans="19:174" x14ac:dyDescent="0.25">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row>
    <row r="801" spans="19:174" x14ac:dyDescent="0.25">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row>
    <row r="802" spans="19:174" x14ac:dyDescent="0.25">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row>
    <row r="803" spans="19:174" x14ac:dyDescent="0.25">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row>
    <row r="804" spans="19:174" x14ac:dyDescent="0.25">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row>
    <row r="805" spans="19:174" x14ac:dyDescent="0.25">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row>
    <row r="806" spans="19:174" x14ac:dyDescent="0.25">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row>
    <row r="807" spans="19:174" x14ac:dyDescent="0.25">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row>
    <row r="808" spans="19:174" x14ac:dyDescent="0.25">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row>
    <row r="809" spans="19:174" x14ac:dyDescent="0.25">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row>
    <row r="810" spans="19:174" x14ac:dyDescent="0.25">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row>
    <row r="811" spans="19:174" x14ac:dyDescent="0.25">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row>
    <row r="812" spans="19:174" x14ac:dyDescent="0.25">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row>
    <row r="813" spans="19:174" x14ac:dyDescent="0.25">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row>
    <row r="814" spans="19:174" x14ac:dyDescent="0.25">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row>
    <row r="815" spans="19:174" x14ac:dyDescent="0.25">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row>
    <row r="816" spans="19:174" x14ac:dyDescent="0.25">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row>
    <row r="817" spans="19:174" x14ac:dyDescent="0.25">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row>
    <row r="818" spans="19:174" x14ac:dyDescent="0.25">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row>
    <row r="819" spans="19:174" x14ac:dyDescent="0.25">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row>
    <row r="820" spans="19:174" x14ac:dyDescent="0.25">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row>
    <row r="821" spans="19:174" x14ac:dyDescent="0.25">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row>
    <row r="822" spans="19:174" x14ac:dyDescent="0.25">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row>
    <row r="823" spans="19:174" x14ac:dyDescent="0.25">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row>
    <row r="824" spans="19:174" x14ac:dyDescent="0.25">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row>
    <row r="825" spans="19:174" x14ac:dyDescent="0.25">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row>
    <row r="826" spans="19:174" x14ac:dyDescent="0.25">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row>
    <row r="827" spans="19:174" x14ac:dyDescent="0.25">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row>
    <row r="828" spans="19:174" x14ac:dyDescent="0.25">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row>
    <row r="829" spans="19:174" x14ac:dyDescent="0.25">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row>
    <row r="830" spans="19:174" x14ac:dyDescent="0.25">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row>
    <row r="831" spans="19:174" x14ac:dyDescent="0.25">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row>
    <row r="832" spans="19:174" x14ac:dyDescent="0.25">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row>
    <row r="833" spans="19:174" x14ac:dyDescent="0.25">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row>
    <row r="834" spans="19:174" x14ac:dyDescent="0.25">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row>
    <row r="835" spans="19:174" x14ac:dyDescent="0.25">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row>
    <row r="836" spans="19:174" x14ac:dyDescent="0.25">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row>
    <row r="837" spans="19:174" x14ac:dyDescent="0.25">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row>
    <row r="838" spans="19:174" x14ac:dyDescent="0.25">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row>
    <row r="839" spans="19:174" x14ac:dyDescent="0.25">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F839" s="11"/>
      <c r="CG839" s="11"/>
      <c r="CH839" s="11"/>
      <c r="CI839" s="11"/>
      <c r="CJ839" s="11"/>
      <c r="CK839" s="11"/>
      <c r="CL839" s="11"/>
      <c r="CM839" s="11"/>
      <c r="CN839" s="11"/>
      <c r="CO839" s="11"/>
      <c r="CP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row>
    <row r="840" spans="19:174" x14ac:dyDescent="0.25">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F840" s="11"/>
      <c r="CG840" s="11"/>
      <c r="CH840" s="11"/>
      <c r="CI840" s="11"/>
      <c r="CJ840" s="11"/>
      <c r="CK840" s="11"/>
      <c r="CL840" s="11"/>
      <c r="CM840" s="11"/>
      <c r="CN840" s="11"/>
      <c r="CO840" s="11"/>
      <c r="CP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row>
    <row r="841" spans="19:174" x14ac:dyDescent="0.25">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F841" s="11"/>
      <c r="CG841" s="11"/>
      <c r="CH841" s="11"/>
      <c r="CI841" s="11"/>
      <c r="CJ841" s="11"/>
      <c r="CK841" s="11"/>
      <c r="CL841" s="11"/>
      <c r="CM841" s="11"/>
      <c r="CN841" s="11"/>
      <c r="CO841" s="11"/>
      <c r="CP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row>
    <row r="842" spans="19:174" x14ac:dyDescent="0.25">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F842" s="11"/>
      <c r="CG842" s="11"/>
      <c r="CH842" s="11"/>
      <c r="CI842" s="11"/>
      <c r="CJ842" s="11"/>
      <c r="CK842" s="11"/>
      <c r="CL842" s="11"/>
      <c r="CM842" s="11"/>
      <c r="CN842" s="11"/>
      <c r="CO842" s="11"/>
      <c r="CP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row>
    <row r="843" spans="19:174" x14ac:dyDescent="0.25">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1"/>
      <c r="CH843" s="11"/>
      <c r="CI843" s="11"/>
      <c r="CJ843" s="11"/>
      <c r="CK843" s="11"/>
      <c r="CL843" s="11"/>
      <c r="CM843" s="11"/>
      <c r="CN843" s="11"/>
      <c r="CO843" s="11"/>
      <c r="CP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row>
    <row r="844" spans="19:174" x14ac:dyDescent="0.25">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F844" s="11"/>
      <c r="CG844" s="11"/>
      <c r="CH844" s="11"/>
      <c r="CI844" s="11"/>
      <c r="CJ844" s="11"/>
      <c r="CK844" s="11"/>
      <c r="CL844" s="11"/>
      <c r="CM844" s="11"/>
      <c r="CN844" s="11"/>
      <c r="CO844" s="11"/>
      <c r="CP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row>
    <row r="845" spans="19:174" x14ac:dyDescent="0.25">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F845" s="11"/>
      <c r="CG845" s="11"/>
      <c r="CH845" s="11"/>
      <c r="CI845" s="11"/>
      <c r="CJ845" s="11"/>
      <c r="CK845" s="11"/>
      <c r="CL845" s="11"/>
      <c r="CM845" s="11"/>
      <c r="CN845" s="11"/>
      <c r="CO845" s="11"/>
      <c r="CP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row>
    <row r="846" spans="19:174" x14ac:dyDescent="0.25">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row>
    <row r="847" spans="19:174" x14ac:dyDescent="0.25">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F847" s="11"/>
      <c r="CG847" s="11"/>
      <c r="CH847" s="11"/>
      <c r="CI847" s="11"/>
      <c r="CJ847" s="11"/>
      <c r="CK847" s="11"/>
      <c r="CL847" s="11"/>
      <c r="CM847" s="11"/>
      <c r="CN847" s="11"/>
      <c r="CO847" s="11"/>
      <c r="CP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row>
    <row r="848" spans="19:174" x14ac:dyDescent="0.25">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F848" s="11"/>
      <c r="CG848" s="11"/>
      <c r="CH848" s="11"/>
      <c r="CI848" s="11"/>
      <c r="CJ848" s="11"/>
      <c r="CK848" s="11"/>
      <c r="CL848" s="11"/>
      <c r="CM848" s="11"/>
      <c r="CN848" s="11"/>
      <c r="CO848" s="11"/>
      <c r="CP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row>
    <row r="849" spans="19:174" x14ac:dyDescent="0.25">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row>
    <row r="850" spans="19:174" x14ac:dyDescent="0.25">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F850" s="11"/>
      <c r="CG850" s="11"/>
      <c r="CH850" s="11"/>
      <c r="CI850" s="11"/>
      <c r="CJ850" s="11"/>
      <c r="CK850" s="11"/>
      <c r="CL850" s="11"/>
      <c r="CM850" s="11"/>
      <c r="CN850" s="11"/>
      <c r="CO850" s="11"/>
      <c r="CP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row>
    <row r="851" spans="19:174" x14ac:dyDescent="0.25">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F851" s="11"/>
      <c r="CG851" s="11"/>
      <c r="CH851" s="11"/>
      <c r="CI851" s="11"/>
      <c r="CJ851" s="11"/>
      <c r="CK851" s="11"/>
      <c r="CL851" s="11"/>
      <c r="CM851" s="11"/>
      <c r="CN851" s="11"/>
      <c r="CO851" s="11"/>
      <c r="CP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row>
    <row r="852" spans="19:174" x14ac:dyDescent="0.25">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row>
    <row r="853" spans="19:174" x14ac:dyDescent="0.25">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F853" s="11"/>
      <c r="CG853" s="11"/>
      <c r="CH853" s="11"/>
      <c r="CI853" s="11"/>
      <c r="CJ853" s="11"/>
      <c r="CK853" s="11"/>
      <c r="CL853" s="11"/>
      <c r="CM853" s="11"/>
      <c r="CN853" s="11"/>
      <c r="CO853" s="11"/>
      <c r="CP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row>
    <row r="854" spans="19:174" x14ac:dyDescent="0.25">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row>
    <row r="855" spans="19:174" x14ac:dyDescent="0.25">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F855" s="11"/>
      <c r="CG855" s="11"/>
      <c r="CH855" s="11"/>
      <c r="CI855" s="11"/>
      <c r="CJ855" s="11"/>
      <c r="CK855" s="11"/>
      <c r="CL855" s="11"/>
      <c r="CM855" s="11"/>
      <c r="CN855" s="11"/>
      <c r="CO855" s="11"/>
      <c r="CP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row>
    <row r="856" spans="19:174" x14ac:dyDescent="0.25">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1"/>
      <c r="CH856" s="11"/>
      <c r="CI856" s="11"/>
      <c r="CJ856" s="11"/>
      <c r="CK856" s="11"/>
      <c r="CL856" s="11"/>
      <c r="CM856" s="11"/>
      <c r="CN856" s="11"/>
      <c r="CO856" s="11"/>
      <c r="CP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row>
    <row r="857" spans="19:174" x14ac:dyDescent="0.25">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F857" s="11"/>
      <c r="CG857" s="11"/>
      <c r="CH857" s="11"/>
      <c r="CI857" s="11"/>
      <c r="CJ857" s="11"/>
      <c r="CK857" s="11"/>
      <c r="CL857" s="11"/>
      <c r="CM857" s="11"/>
      <c r="CN857" s="11"/>
      <c r="CO857" s="11"/>
      <c r="CP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row>
    <row r="858" spans="19:174" x14ac:dyDescent="0.25">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F858" s="11"/>
      <c r="CG858" s="11"/>
      <c r="CH858" s="11"/>
      <c r="CI858" s="11"/>
      <c r="CJ858" s="11"/>
      <c r="CK858" s="11"/>
      <c r="CL858" s="11"/>
      <c r="CM858" s="11"/>
      <c r="CN858" s="11"/>
      <c r="CO858" s="11"/>
      <c r="CP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row>
    <row r="859" spans="19:174" x14ac:dyDescent="0.25">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row>
    <row r="860" spans="19:174" x14ac:dyDescent="0.25">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F860" s="11"/>
      <c r="CG860" s="11"/>
      <c r="CH860" s="11"/>
      <c r="CI860" s="11"/>
      <c r="CJ860" s="11"/>
      <c r="CK860" s="11"/>
      <c r="CL860" s="11"/>
      <c r="CM860" s="11"/>
      <c r="CN860" s="11"/>
      <c r="CO860" s="11"/>
      <c r="CP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row>
    <row r="861" spans="19:174" x14ac:dyDescent="0.25">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F861" s="11"/>
      <c r="CG861" s="11"/>
      <c r="CH861" s="11"/>
      <c r="CI861" s="11"/>
      <c r="CJ861" s="11"/>
      <c r="CK861" s="11"/>
      <c r="CL861" s="11"/>
      <c r="CM861" s="11"/>
      <c r="CN861" s="11"/>
      <c r="CO861" s="11"/>
      <c r="CP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row>
    <row r="862" spans="19:174" x14ac:dyDescent="0.25">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row>
    <row r="863" spans="19:174" x14ac:dyDescent="0.25">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row>
    <row r="864" spans="19:174" x14ac:dyDescent="0.25">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F864" s="11"/>
      <c r="CG864" s="11"/>
      <c r="CH864" s="11"/>
      <c r="CI864" s="11"/>
      <c r="CJ864" s="11"/>
      <c r="CK864" s="11"/>
      <c r="CL864" s="11"/>
      <c r="CM864" s="11"/>
      <c r="CN864" s="11"/>
      <c r="CO864" s="11"/>
      <c r="CP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row>
    <row r="865" spans="19:174" x14ac:dyDescent="0.25">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F865" s="11"/>
      <c r="CG865" s="11"/>
      <c r="CH865" s="11"/>
      <c r="CI865" s="11"/>
      <c r="CJ865" s="11"/>
      <c r="CK865" s="11"/>
      <c r="CL865" s="11"/>
      <c r="CM865" s="11"/>
      <c r="CN865" s="11"/>
      <c r="CO865" s="11"/>
      <c r="CP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row>
    <row r="866" spans="19:174" x14ac:dyDescent="0.25">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row>
    <row r="867" spans="19:174" x14ac:dyDescent="0.25">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F867" s="11"/>
      <c r="CG867" s="11"/>
      <c r="CH867" s="11"/>
      <c r="CI867" s="11"/>
      <c r="CJ867" s="11"/>
      <c r="CK867" s="11"/>
      <c r="CL867" s="11"/>
      <c r="CM867" s="11"/>
      <c r="CN867" s="11"/>
      <c r="CO867" s="11"/>
      <c r="CP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row>
    <row r="868" spans="19:174" x14ac:dyDescent="0.25">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F868" s="11"/>
      <c r="CG868" s="11"/>
      <c r="CH868" s="11"/>
      <c r="CI868" s="11"/>
      <c r="CJ868" s="11"/>
      <c r="CK868" s="11"/>
      <c r="CL868" s="11"/>
      <c r="CM868" s="11"/>
      <c r="CN868" s="11"/>
      <c r="CO868" s="11"/>
      <c r="CP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row>
    <row r="869" spans="19:174" x14ac:dyDescent="0.25">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row>
    <row r="870" spans="19:174" x14ac:dyDescent="0.25">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row>
    <row r="871" spans="19:174" x14ac:dyDescent="0.25">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F871" s="11"/>
      <c r="CG871" s="11"/>
      <c r="CH871" s="11"/>
      <c r="CI871" s="11"/>
      <c r="CJ871" s="11"/>
      <c r="CK871" s="11"/>
      <c r="CL871" s="11"/>
      <c r="CM871" s="11"/>
      <c r="CN871" s="11"/>
      <c r="CO871" s="11"/>
      <c r="CP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row>
    <row r="872" spans="19:174" x14ac:dyDescent="0.25">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F872" s="11"/>
      <c r="CG872" s="11"/>
      <c r="CH872" s="11"/>
      <c r="CI872" s="11"/>
      <c r="CJ872" s="11"/>
      <c r="CK872" s="11"/>
      <c r="CL872" s="11"/>
      <c r="CM872" s="11"/>
      <c r="CN872" s="11"/>
      <c r="CO872" s="11"/>
      <c r="CP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row>
    <row r="873" spans="19:174" x14ac:dyDescent="0.25">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F873" s="11"/>
      <c r="CG873" s="11"/>
      <c r="CH873" s="11"/>
      <c r="CI873" s="11"/>
      <c r="CJ873" s="11"/>
      <c r="CK873" s="11"/>
      <c r="CL873" s="11"/>
      <c r="CM873" s="11"/>
      <c r="CN873" s="11"/>
      <c r="CO873" s="11"/>
      <c r="CP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row>
    <row r="874" spans="19:174" x14ac:dyDescent="0.25">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F874" s="11"/>
      <c r="CG874" s="11"/>
      <c r="CH874" s="11"/>
      <c r="CI874" s="11"/>
      <c r="CJ874" s="11"/>
      <c r="CK874" s="11"/>
      <c r="CL874" s="11"/>
      <c r="CM874" s="11"/>
      <c r="CN874" s="11"/>
      <c r="CO874" s="11"/>
      <c r="CP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row>
    <row r="875" spans="19:174" x14ac:dyDescent="0.25">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row>
    <row r="876" spans="19:174" x14ac:dyDescent="0.25">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F876" s="11"/>
      <c r="CG876" s="11"/>
      <c r="CH876" s="11"/>
      <c r="CI876" s="11"/>
      <c r="CJ876" s="11"/>
      <c r="CK876" s="11"/>
      <c r="CL876" s="11"/>
      <c r="CM876" s="11"/>
      <c r="CN876" s="11"/>
      <c r="CO876" s="11"/>
      <c r="CP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row>
    <row r="877" spans="19:174" x14ac:dyDescent="0.25">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row>
    <row r="878" spans="19:174" x14ac:dyDescent="0.25">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row>
    <row r="879" spans="19:174" x14ac:dyDescent="0.25">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row>
    <row r="880" spans="19:174" x14ac:dyDescent="0.25">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row>
    <row r="881" spans="19:174" x14ac:dyDescent="0.25">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F881" s="11"/>
      <c r="CG881" s="11"/>
      <c r="CH881" s="11"/>
      <c r="CI881" s="11"/>
      <c r="CJ881" s="11"/>
      <c r="CK881" s="11"/>
      <c r="CL881" s="11"/>
      <c r="CM881" s="11"/>
      <c r="CN881" s="11"/>
      <c r="CO881" s="11"/>
      <c r="CP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row>
    <row r="882" spans="19:174" x14ac:dyDescent="0.25">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1"/>
      <c r="CH882" s="11"/>
      <c r="CI882" s="11"/>
      <c r="CJ882" s="11"/>
      <c r="CK882" s="11"/>
      <c r="CL882" s="11"/>
      <c r="CM882" s="11"/>
      <c r="CN882" s="11"/>
      <c r="CO882" s="11"/>
      <c r="CP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row>
    <row r="883" spans="19:174" x14ac:dyDescent="0.25">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F883" s="11"/>
      <c r="CG883" s="11"/>
      <c r="CH883" s="11"/>
      <c r="CI883" s="11"/>
      <c r="CJ883" s="11"/>
      <c r="CK883" s="11"/>
      <c r="CL883" s="11"/>
      <c r="CM883" s="11"/>
      <c r="CN883" s="11"/>
      <c r="CO883" s="11"/>
      <c r="CP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row>
    <row r="884" spans="19:174" x14ac:dyDescent="0.25">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F884" s="11"/>
      <c r="CG884" s="11"/>
      <c r="CH884" s="11"/>
      <c r="CI884" s="11"/>
      <c r="CJ884" s="11"/>
      <c r="CK884" s="11"/>
      <c r="CL884" s="11"/>
      <c r="CM884" s="11"/>
      <c r="CN884" s="11"/>
      <c r="CO884" s="11"/>
      <c r="CP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row>
    <row r="885" spans="19:174" x14ac:dyDescent="0.25">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F885" s="11"/>
      <c r="CG885" s="11"/>
      <c r="CH885" s="11"/>
      <c r="CI885" s="11"/>
      <c r="CJ885" s="11"/>
      <c r="CK885" s="11"/>
      <c r="CL885" s="11"/>
      <c r="CM885" s="11"/>
      <c r="CN885" s="11"/>
      <c r="CO885" s="11"/>
      <c r="CP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row>
    <row r="886" spans="19:174" x14ac:dyDescent="0.25">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row>
    <row r="887" spans="19:174" x14ac:dyDescent="0.25">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F887" s="11"/>
      <c r="CG887" s="11"/>
      <c r="CH887" s="11"/>
      <c r="CI887" s="11"/>
      <c r="CJ887" s="11"/>
      <c r="CK887" s="11"/>
      <c r="CL887" s="11"/>
      <c r="CM887" s="11"/>
      <c r="CN887" s="11"/>
      <c r="CO887" s="11"/>
      <c r="CP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row>
    <row r="888" spans="19:174" x14ac:dyDescent="0.25">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F888" s="11"/>
      <c r="CG888" s="11"/>
      <c r="CH888" s="11"/>
      <c r="CI888" s="11"/>
      <c r="CJ888" s="11"/>
      <c r="CK888" s="11"/>
      <c r="CL888" s="11"/>
      <c r="CM888" s="11"/>
      <c r="CN888" s="11"/>
      <c r="CO888" s="11"/>
      <c r="CP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row>
    <row r="889" spans="19:174" x14ac:dyDescent="0.25">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row>
    <row r="890" spans="19:174" x14ac:dyDescent="0.25">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F890" s="11"/>
      <c r="CG890" s="11"/>
      <c r="CH890" s="11"/>
      <c r="CI890" s="11"/>
      <c r="CJ890" s="11"/>
      <c r="CK890" s="11"/>
      <c r="CL890" s="11"/>
      <c r="CM890" s="11"/>
      <c r="CN890" s="11"/>
      <c r="CO890" s="11"/>
      <c r="CP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row>
    <row r="891" spans="19:174" x14ac:dyDescent="0.25">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row>
    <row r="892" spans="19:174" x14ac:dyDescent="0.25">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row>
    <row r="893" spans="19:174" x14ac:dyDescent="0.25">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row>
    <row r="894" spans="19:174" x14ac:dyDescent="0.25">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row>
    <row r="895" spans="19:174" x14ac:dyDescent="0.25">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row>
    <row r="896" spans="19:174" x14ac:dyDescent="0.25">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F896" s="11"/>
      <c r="CG896" s="11"/>
      <c r="CH896" s="11"/>
      <c r="CI896" s="11"/>
      <c r="CJ896" s="11"/>
      <c r="CK896" s="11"/>
      <c r="CL896" s="11"/>
      <c r="CM896" s="11"/>
      <c r="CN896" s="11"/>
      <c r="CO896" s="11"/>
      <c r="CP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row>
    <row r="897" spans="19:174" x14ac:dyDescent="0.25">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F897" s="11"/>
      <c r="CG897" s="11"/>
      <c r="CH897" s="11"/>
      <c r="CI897" s="11"/>
      <c r="CJ897" s="11"/>
      <c r="CK897" s="11"/>
      <c r="CL897" s="11"/>
      <c r="CM897" s="11"/>
      <c r="CN897" s="11"/>
      <c r="CO897" s="11"/>
      <c r="CP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row>
    <row r="898" spans="19:174" x14ac:dyDescent="0.25">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row>
    <row r="899" spans="19:174" x14ac:dyDescent="0.25">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row>
    <row r="900" spans="19:174" x14ac:dyDescent="0.25">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row>
    <row r="901" spans="19:174" x14ac:dyDescent="0.25">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row>
    <row r="902" spans="19:174" x14ac:dyDescent="0.25">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row>
    <row r="903" spans="19:174" x14ac:dyDescent="0.25">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row>
    <row r="904" spans="19:174" x14ac:dyDescent="0.25">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row>
    <row r="905" spans="19:174" x14ac:dyDescent="0.25">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row>
    <row r="906" spans="19:174" x14ac:dyDescent="0.25">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row>
    <row r="907" spans="19:174" x14ac:dyDescent="0.25">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row>
    <row r="908" spans="19:174" x14ac:dyDescent="0.25">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row>
    <row r="909" spans="19:174" x14ac:dyDescent="0.25">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row>
    <row r="910" spans="19:174" x14ac:dyDescent="0.25">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row>
    <row r="911" spans="19:174" x14ac:dyDescent="0.25">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F911" s="11"/>
      <c r="CG911" s="11"/>
      <c r="CH911" s="11"/>
      <c r="CI911" s="11"/>
      <c r="CJ911" s="11"/>
      <c r="CK911" s="11"/>
      <c r="CL911" s="11"/>
      <c r="CM911" s="11"/>
      <c r="CN911" s="11"/>
      <c r="CO911" s="11"/>
      <c r="CP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row>
    <row r="912" spans="19:174" x14ac:dyDescent="0.25">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F912" s="11"/>
      <c r="CG912" s="11"/>
      <c r="CH912" s="11"/>
      <c r="CI912" s="11"/>
      <c r="CJ912" s="11"/>
      <c r="CK912" s="11"/>
      <c r="CL912" s="11"/>
      <c r="CM912" s="11"/>
      <c r="CN912" s="11"/>
      <c r="CO912" s="11"/>
      <c r="CP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row>
    <row r="913" spans="19:174" x14ac:dyDescent="0.25">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F913" s="11"/>
      <c r="CG913" s="11"/>
      <c r="CH913" s="11"/>
      <c r="CI913" s="11"/>
      <c r="CJ913" s="11"/>
      <c r="CK913" s="11"/>
      <c r="CL913" s="11"/>
      <c r="CM913" s="11"/>
      <c r="CN913" s="11"/>
      <c r="CO913" s="11"/>
      <c r="CP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row>
    <row r="914" spans="19:174" x14ac:dyDescent="0.25">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F914" s="11"/>
      <c r="CG914" s="11"/>
      <c r="CH914" s="11"/>
      <c r="CI914" s="11"/>
      <c r="CJ914" s="11"/>
      <c r="CK914" s="11"/>
      <c r="CL914" s="11"/>
      <c r="CM914" s="11"/>
      <c r="CN914" s="11"/>
      <c r="CO914" s="11"/>
      <c r="CP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row>
    <row r="915" spans="19:174" x14ac:dyDescent="0.25">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F915" s="11"/>
      <c r="CG915" s="11"/>
      <c r="CH915" s="11"/>
      <c r="CI915" s="11"/>
      <c r="CJ915" s="11"/>
      <c r="CK915" s="11"/>
      <c r="CL915" s="11"/>
      <c r="CM915" s="11"/>
      <c r="CN915" s="11"/>
      <c r="CO915" s="11"/>
      <c r="CP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row>
    <row r="916" spans="19:174" x14ac:dyDescent="0.25">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row>
    <row r="917" spans="19:174" x14ac:dyDescent="0.25">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F917" s="11"/>
      <c r="CG917" s="11"/>
      <c r="CH917" s="11"/>
      <c r="CI917" s="11"/>
      <c r="CJ917" s="11"/>
      <c r="CK917" s="11"/>
      <c r="CL917" s="11"/>
      <c r="CM917" s="11"/>
      <c r="CN917" s="11"/>
      <c r="CO917" s="11"/>
      <c r="CP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row>
    <row r="918" spans="19:174" x14ac:dyDescent="0.25">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row>
    <row r="919" spans="19:174" x14ac:dyDescent="0.25">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F919" s="11"/>
      <c r="CG919" s="11"/>
      <c r="CH919" s="11"/>
      <c r="CI919" s="11"/>
      <c r="CJ919" s="11"/>
      <c r="CK919" s="11"/>
      <c r="CL919" s="11"/>
      <c r="CM919" s="11"/>
      <c r="CN919" s="11"/>
      <c r="CO919" s="11"/>
      <c r="CP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row>
    <row r="920" spans="19:174" x14ac:dyDescent="0.25">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F920" s="11"/>
      <c r="CG920" s="11"/>
      <c r="CH920" s="11"/>
      <c r="CI920" s="11"/>
      <c r="CJ920" s="11"/>
      <c r="CK920" s="11"/>
      <c r="CL920" s="11"/>
      <c r="CM920" s="11"/>
      <c r="CN920" s="11"/>
      <c r="CO920" s="11"/>
      <c r="CP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row>
    <row r="921" spans="19:174" x14ac:dyDescent="0.25">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1"/>
      <c r="CH921" s="11"/>
      <c r="CI921" s="11"/>
      <c r="CJ921" s="11"/>
      <c r="CK921" s="11"/>
      <c r="CL921" s="11"/>
      <c r="CM921" s="11"/>
      <c r="CN921" s="11"/>
      <c r="CO921" s="11"/>
      <c r="CP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row>
    <row r="922" spans="19:174" x14ac:dyDescent="0.25">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F922" s="11"/>
      <c r="CG922" s="11"/>
      <c r="CH922" s="11"/>
      <c r="CI922" s="11"/>
      <c r="CJ922" s="11"/>
      <c r="CK922" s="11"/>
      <c r="CL922" s="11"/>
      <c r="CM922" s="11"/>
      <c r="CN922" s="11"/>
      <c r="CO922" s="11"/>
      <c r="CP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row>
    <row r="923" spans="19:174" x14ac:dyDescent="0.25">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F923" s="11"/>
      <c r="CG923" s="11"/>
      <c r="CH923" s="11"/>
      <c r="CI923" s="11"/>
      <c r="CJ923" s="11"/>
      <c r="CK923" s="11"/>
      <c r="CL923" s="11"/>
      <c r="CM923" s="11"/>
      <c r="CN923" s="11"/>
      <c r="CO923" s="11"/>
      <c r="CP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row>
    <row r="924" spans="19:174" x14ac:dyDescent="0.25">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F924" s="11"/>
      <c r="CG924" s="11"/>
      <c r="CH924" s="11"/>
      <c r="CI924" s="11"/>
      <c r="CJ924" s="11"/>
      <c r="CK924" s="11"/>
      <c r="CL924" s="11"/>
      <c r="CM924" s="11"/>
      <c r="CN924" s="11"/>
      <c r="CO924" s="11"/>
      <c r="CP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row>
    <row r="925" spans="19:174" x14ac:dyDescent="0.25">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F925" s="11"/>
      <c r="CG925" s="11"/>
      <c r="CH925" s="11"/>
      <c r="CI925" s="11"/>
      <c r="CJ925" s="11"/>
      <c r="CK925" s="11"/>
      <c r="CL925" s="11"/>
      <c r="CM925" s="11"/>
      <c r="CN925" s="11"/>
      <c r="CO925" s="11"/>
      <c r="CP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row>
    <row r="926" spans="19:174" x14ac:dyDescent="0.25">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row>
    <row r="927" spans="19:174" x14ac:dyDescent="0.25">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c r="CP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row>
    <row r="928" spans="19:174" x14ac:dyDescent="0.25">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F928" s="11"/>
      <c r="CG928" s="11"/>
      <c r="CH928" s="11"/>
      <c r="CI928" s="11"/>
      <c r="CJ928" s="11"/>
      <c r="CK928" s="11"/>
      <c r="CL928" s="11"/>
      <c r="CM928" s="11"/>
      <c r="CN928" s="11"/>
      <c r="CO928" s="11"/>
      <c r="CP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row>
    <row r="929" spans="19:174" x14ac:dyDescent="0.25">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F929" s="11"/>
      <c r="CG929" s="11"/>
      <c r="CH929" s="11"/>
      <c r="CI929" s="11"/>
      <c r="CJ929" s="11"/>
      <c r="CK929" s="11"/>
      <c r="CL929" s="11"/>
      <c r="CM929" s="11"/>
      <c r="CN929" s="11"/>
      <c r="CO929" s="11"/>
      <c r="CP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row>
    <row r="930" spans="19:174" x14ac:dyDescent="0.25">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row>
    <row r="931" spans="19:174" x14ac:dyDescent="0.25">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row>
    <row r="932" spans="19:174" x14ac:dyDescent="0.25">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row>
    <row r="933" spans="19:174" x14ac:dyDescent="0.25">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row>
    <row r="934" spans="19:174" x14ac:dyDescent="0.25">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row>
    <row r="935" spans="19:174" x14ac:dyDescent="0.25">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row>
    <row r="936" spans="19:174" x14ac:dyDescent="0.25">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row>
    <row r="937" spans="19:174" x14ac:dyDescent="0.25">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row>
    <row r="938" spans="19:174" x14ac:dyDescent="0.25">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row>
    <row r="939" spans="19:174" x14ac:dyDescent="0.25">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F939" s="11"/>
      <c r="CG939" s="11"/>
      <c r="CH939" s="11"/>
      <c r="CI939" s="11"/>
      <c r="CJ939" s="11"/>
      <c r="CK939" s="11"/>
      <c r="CL939" s="11"/>
      <c r="CM939" s="11"/>
      <c r="CN939" s="11"/>
      <c r="CO939" s="11"/>
      <c r="CP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row>
    <row r="940" spans="19:174" x14ac:dyDescent="0.25">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F940" s="11"/>
      <c r="CG940" s="11"/>
      <c r="CH940" s="11"/>
      <c r="CI940" s="11"/>
      <c r="CJ940" s="11"/>
      <c r="CK940" s="11"/>
      <c r="CL940" s="11"/>
      <c r="CM940" s="11"/>
      <c r="CN940" s="11"/>
      <c r="CO940" s="11"/>
      <c r="CP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row>
    <row r="941" spans="19:174" x14ac:dyDescent="0.25">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row>
    <row r="942" spans="19:174" x14ac:dyDescent="0.25">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row>
    <row r="943" spans="19:174" x14ac:dyDescent="0.25">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F943" s="11"/>
      <c r="CG943" s="11"/>
      <c r="CH943" s="11"/>
      <c r="CI943" s="11"/>
      <c r="CJ943" s="11"/>
      <c r="CK943" s="11"/>
      <c r="CL943" s="11"/>
      <c r="CM943" s="11"/>
      <c r="CN943" s="11"/>
      <c r="CO943" s="11"/>
      <c r="CP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row>
    <row r="944" spans="19:174" x14ac:dyDescent="0.25">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F944" s="11"/>
      <c r="CG944" s="11"/>
      <c r="CH944" s="11"/>
      <c r="CI944" s="11"/>
      <c r="CJ944" s="11"/>
      <c r="CK944" s="11"/>
      <c r="CL944" s="11"/>
      <c r="CM944" s="11"/>
      <c r="CN944" s="11"/>
      <c r="CO944" s="11"/>
      <c r="CP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row>
    <row r="945" spans="19:174" x14ac:dyDescent="0.25">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F945" s="11"/>
      <c r="CG945" s="11"/>
      <c r="CH945" s="11"/>
      <c r="CI945" s="11"/>
      <c r="CJ945" s="11"/>
      <c r="CK945" s="11"/>
      <c r="CL945" s="11"/>
      <c r="CM945" s="11"/>
      <c r="CN945" s="11"/>
      <c r="CO945" s="11"/>
      <c r="CP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row>
    <row r="946" spans="19:174" x14ac:dyDescent="0.25">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F946" s="11"/>
      <c r="CG946" s="11"/>
      <c r="CH946" s="11"/>
      <c r="CI946" s="11"/>
      <c r="CJ946" s="11"/>
      <c r="CK946" s="11"/>
      <c r="CL946" s="11"/>
      <c r="CM946" s="11"/>
      <c r="CN946" s="11"/>
      <c r="CO946" s="11"/>
      <c r="CP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row>
    <row r="947" spans="19:174" x14ac:dyDescent="0.25">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1"/>
      <c r="CH947" s="11"/>
      <c r="CI947" s="11"/>
      <c r="CJ947" s="11"/>
      <c r="CK947" s="11"/>
      <c r="CL947" s="11"/>
      <c r="CM947" s="11"/>
      <c r="CN947" s="11"/>
      <c r="CO947" s="11"/>
      <c r="CP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row>
    <row r="948" spans="19:174" x14ac:dyDescent="0.25">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F948" s="11"/>
      <c r="CG948" s="11"/>
      <c r="CH948" s="11"/>
      <c r="CI948" s="11"/>
      <c r="CJ948" s="11"/>
      <c r="CK948" s="11"/>
      <c r="CL948" s="11"/>
      <c r="CM948" s="11"/>
      <c r="CN948" s="11"/>
      <c r="CO948" s="11"/>
      <c r="CP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row>
    <row r="949" spans="19:174" x14ac:dyDescent="0.25">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F949" s="11"/>
      <c r="CG949" s="11"/>
      <c r="CH949" s="11"/>
      <c r="CI949" s="11"/>
      <c r="CJ949" s="11"/>
      <c r="CK949" s="11"/>
      <c r="CL949" s="11"/>
      <c r="CM949" s="11"/>
      <c r="CN949" s="11"/>
      <c r="CO949" s="11"/>
      <c r="CP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row>
    <row r="950" spans="19:174" x14ac:dyDescent="0.25">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row>
    <row r="951" spans="19:174" x14ac:dyDescent="0.25">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row>
    <row r="952" spans="19:174" x14ac:dyDescent="0.25">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row>
    <row r="953" spans="19:174" x14ac:dyDescent="0.25">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row>
    <row r="954" spans="19:174" x14ac:dyDescent="0.25">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F954" s="11"/>
      <c r="CG954" s="11"/>
      <c r="CH954" s="11"/>
      <c r="CI954" s="11"/>
      <c r="CJ954" s="11"/>
      <c r="CK954" s="11"/>
      <c r="CL954" s="11"/>
      <c r="CM954" s="11"/>
      <c r="CN954" s="11"/>
      <c r="CO954" s="11"/>
      <c r="CP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row>
    <row r="955" spans="19:174" x14ac:dyDescent="0.25">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row>
    <row r="956" spans="19:174" x14ac:dyDescent="0.25">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row>
    <row r="957" spans="19:174" x14ac:dyDescent="0.25">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row>
    <row r="958" spans="19:174" x14ac:dyDescent="0.25">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row>
    <row r="959" spans="19:174" x14ac:dyDescent="0.25">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row>
    <row r="960" spans="19:174" x14ac:dyDescent="0.25">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row>
    <row r="961" spans="19:174" x14ac:dyDescent="0.25">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F961" s="11"/>
      <c r="CG961" s="11"/>
      <c r="CH961" s="11"/>
      <c r="CI961" s="11"/>
      <c r="CJ961" s="11"/>
      <c r="CK961" s="11"/>
      <c r="CL961" s="11"/>
      <c r="CM961" s="11"/>
      <c r="CN961" s="11"/>
      <c r="CO961" s="11"/>
      <c r="CP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row>
    <row r="962" spans="19:174" x14ac:dyDescent="0.25">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F962" s="11"/>
      <c r="CG962" s="11"/>
      <c r="CH962" s="11"/>
      <c r="CI962" s="11"/>
      <c r="CJ962" s="11"/>
      <c r="CK962" s="11"/>
      <c r="CL962" s="11"/>
      <c r="CM962" s="11"/>
      <c r="CN962" s="11"/>
      <c r="CO962" s="11"/>
      <c r="CP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row>
    <row r="963" spans="19:174" x14ac:dyDescent="0.25">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1"/>
      <c r="CK963" s="11"/>
      <c r="CL963" s="11"/>
      <c r="CM963" s="11"/>
      <c r="CN963" s="11"/>
      <c r="CO963" s="11"/>
      <c r="CP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row>
    <row r="964" spans="19:174" x14ac:dyDescent="0.25">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F964" s="11"/>
      <c r="CG964" s="11"/>
      <c r="CH964" s="11"/>
      <c r="CI964" s="11"/>
      <c r="CJ964" s="11"/>
      <c r="CK964" s="11"/>
      <c r="CL964" s="11"/>
      <c r="CM964" s="11"/>
      <c r="CN964" s="11"/>
      <c r="CO964" s="11"/>
      <c r="CP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row>
    <row r="965" spans="19:174" x14ac:dyDescent="0.25">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F965" s="11"/>
      <c r="CG965" s="11"/>
      <c r="CH965" s="11"/>
      <c r="CI965" s="11"/>
      <c r="CJ965" s="11"/>
      <c r="CK965" s="11"/>
      <c r="CL965" s="11"/>
      <c r="CM965" s="11"/>
      <c r="CN965" s="11"/>
      <c r="CO965" s="11"/>
      <c r="CP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row>
    <row r="966" spans="19:174" x14ac:dyDescent="0.25">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row>
    <row r="967" spans="19:174" x14ac:dyDescent="0.25">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F967" s="11"/>
      <c r="CG967" s="11"/>
      <c r="CH967" s="11"/>
      <c r="CI967" s="11"/>
      <c r="CJ967" s="11"/>
      <c r="CK967" s="11"/>
      <c r="CL967" s="11"/>
      <c r="CM967" s="11"/>
      <c r="CN967" s="11"/>
      <c r="CO967" s="11"/>
      <c r="CP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row>
    <row r="968" spans="19:174" x14ac:dyDescent="0.25">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row>
    <row r="969" spans="19:174" x14ac:dyDescent="0.25">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F969" s="11"/>
      <c r="CG969" s="11"/>
      <c r="CH969" s="11"/>
      <c r="CI969" s="11"/>
      <c r="CJ969" s="11"/>
      <c r="CK969" s="11"/>
      <c r="CL969" s="11"/>
      <c r="CM969" s="11"/>
      <c r="CN969" s="11"/>
      <c r="CO969" s="11"/>
      <c r="CP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row>
    <row r="970" spans="19:174" x14ac:dyDescent="0.25">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F970" s="11"/>
      <c r="CG970" s="11"/>
      <c r="CH970" s="11"/>
      <c r="CI970" s="11"/>
      <c r="CJ970" s="11"/>
      <c r="CK970" s="11"/>
      <c r="CL970" s="11"/>
      <c r="CM970" s="11"/>
      <c r="CN970" s="11"/>
      <c r="CO970" s="11"/>
      <c r="CP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row>
    <row r="971" spans="19:174" x14ac:dyDescent="0.25">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F971" s="11"/>
      <c r="CG971" s="11"/>
      <c r="CH971" s="11"/>
      <c r="CI971" s="11"/>
      <c r="CJ971" s="11"/>
      <c r="CK971" s="11"/>
      <c r="CL971" s="11"/>
      <c r="CM971" s="11"/>
      <c r="CN971" s="11"/>
      <c r="CO971" s="11"/>
      <c r="CP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row>
    <row r="972" spans="19:174" x14ac:dyDescent="0.25">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F972" s="11"/>
      <c r="CG972" s="11"/>
      <c r="CH972" s="11"/>
      <c r="CI972" s="11"/>
      <c r="CJ972" s="11"/>
      <c r="CK972" s="11"/>
      <c r="CL972" s="11"/>
      <c r="CM972" s="11"/>
      <c r="CN972" s="11"/>
      <c r="CO972" s="11"/>
      <c r="CP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row>
    <row r="973" spans="19:174" x14ac:dyDescent="0.25">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1"/>
      <c r="CH973" s="11"/>
      <c r="CI973" s="11"/>
      <c r="CJ973" s="11"/>
      <c r="CK973" s="11"/>
      <c r="CL973" s="11"/>
      <c r="CM973" s="11"/>
      <c r="CN973" s="11"/>
      <c r="CO973" s="11"/>
      <c r="CP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row>
    <row r="974" spans="19:174" x14ac:dyDescent="0.25">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row>
    <row r="975" spans="19:174" x14ac:dyDescent="0.25">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F975" s="11"/>
      <c r="CG975" s="11"/>
      <c r="CH975" s="11"/>
      <c r="CI975" s="11"/>
      <c r="CJ975" s="11"/>
      <c r="CK975" s="11"/>
      <c r="CL975" s="11"/>
      <c r="CM975" s="11"/>
      <c r="CN975" s="11"/>
      <c r="CO975" s="11"/>
      <c r="CP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row>
    <row r="976" spans="19:174" x14ac:dyDescent="0.25">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F976" s="11"/>
      <c r="CG976" s="11"/>
      <c r="CH976" s="11"/>
      <c r="CI976" s="11"/>
      <c r="CJ976" s="11"/>
      <c r="CK976" s="11"/>
      <c r="CL976" s="11"/>
      <c r="CM976" s="11"/>
      <c r="CN976" s="11"/>
      <c r="CO976" s="11"/>
      <c r="CP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row>
    <row r="977" spans="19:174" x14ac:dyDescent="0.25">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row>
    <row r="978" spans="19:174" x14ac:dyDescent="0.25">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F978" s="11"/>
      <c r="CG978" s="11"/>
      <c r="CH978" s="11"/>
      <c r="CI978" s="11"/>
      <c r="CJ978" s="11"/>
      <c r="CK978" s="11"/>
      <c r="CL978" s="11"/>
      <c r="CM978" s="11"/>
      <c r="CN978" s="11"/>
      <c r="CO978" s="11"/>
      <c r="CP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row>
    <row r="979" spans="19:174" x14ac:dyDescent="0.25">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F979" s="11"/>
      <c r="CG979" s="11"/>
      <c r="CH979" s="11"/>
      <c r="CI979" s="11"/>
      <c r="CJ979" s="11"/>
      <c r="CK979" s="11"/>
      <c r="CL979" s="11"/>
      <c r="CM979" s="11"/>
      <c r="CN979" s="11"/>
      <c r="CO979" s="11"/>
      <c r="CP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row>
    <row r="980" spans="19:174" x14ac:dyDescent="0.25">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F980" s="11"/>
      <c r="CG980" s="11"/>
      <c r="CH980" s="11"/>
      <c r="CI980" s="11"/>
      <c r="CJ980" s="11"/>
      <c r="CK980" s="11"/>
      <c r="CL980" s="11"/>
      <c r="CM980" s="11"/>
      <c r="CN980" s="11"/>
      <c r="CO980" s="11"/>
      <c r="CP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row>
    <row r="981" spans="19:174" x14ac:dyDescent="0.25">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row>
    <row r="982" spans="19:174" x14ac:dyDescent="0.25">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row>
    <row r="983" spans="19:174" x14ac:dyDescent="0.25">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row>
    <row r="984" spans="19:174" x14ac:dyDescent="0.25">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row>
    <row r="985" spans="19:174" x14ac:dyDescent="0.25">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row>
    <row r="986" spans="19:174" x14ac:dyDescent="0.25">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row>
    <row r="987" spans="19:174" x14ac:dyDescent="0.25">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row>
    <row r="988" spans="19:174" x14ac:dyDescent="0.25">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row>
    <row r="989" spans="19:174" x14ac:dyDescent="0.25">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row>
    <row r="990" spans="19:174" x14ac:dyDescent="0.25">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row>
    <row r="991" spans="19:174" x14ac:dyDescent="0.25">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row>
    <row r="992" spans="19:174" x14ac:dyDescent="0.25">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row>
    <row r="993" spans="19:174" x14ac:dyDescent="0.25">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row>
    <row r="994" spans="19:174" x14ac:dyDescent="0.25">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row>
    <row r="995" spans="19:174" x14ac:dyDescent="0.25">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row>
    <row r="996" spans="19:174" x14ac:dyDescent="0.25">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row>
    <row r="997" spans="19:174" x14ac:dyDescent="0.25">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row>
    <row r="998" spans="19:174" x14ac:dyDescent="0.25">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row>
    <row r="999" spans="19:174" x14ac:dyDescent="0.25">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row>
    <row r="1000" spans="19:174" x14ac:dyDescent="0.25">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row>
    <row r="1001" spans="19:174" x14ac:dyDescent="0.25">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F1001" s="11"/>
      <c r="CG1001" s="11"/>
      <c r="CH1001" s="11"/>
      <c r="CI1001" s="11"/>
      <c r="CJ1001" s="11"/>
      <c r="CK1001" s="11"/>
      <c r="CL1001" s="11"/>
      <c r="CM1001" s="11"/>
      <c r="CN1001" s="11"/>
      <c r="CO1001" s="11"/>
      <c r="CP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row>
    <row r="1002" spans="19:174" x14ac:dyDescent="0.25">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F1002" s="11"/>
      <c r="CG1002" s="11"/>
      <c r="CH1002" s="11"/>
      <c r="CI1002" s="11"/>
      <c r="CJ1002" s="11"/>
      <c r="CK1002" s="11"/>
      <c r="CL1002" s="11"/>
      <c r="CM1002" s="11"/>
      <c r="CN1002" s="11"/>
      <c r="CO1002" s="11"/>
      <c r="CP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row>
    <row r="1003" spans="19:174" x14ac:dyDescent="0.25">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F1003" s="11"/>
      <c r="CG1003" s="11"/>
      <c r="CH1003" s="11"/>
      <c r="CI1003" s="11"/>
      <c r="CJ1003" s="11"/>
      <c r="CK1003" s="11"/>
      <c r="CL1003" s="11"/>
      <c r="CM1003" s="11"/>
      <c r="CN1003" s="11"/>
      <c r="CO1003" s="11"/>
      <c r="CP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row>
    <row r="1004" spans="19:174" x14ac:dyDescent="0.25">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F1004" s="11"/>
      <c r="CG1004" s="11"/>
      <c r="CH1004" s="11"/>
      <c r="CI1004" s="11"/>
      <c r="CJ1004" s="11"/>
      <c r="CK1004" s="11"/>
      <c r="CL1004" s="11"/>
      <c r="CM1004" s="11"/>
      <c r="CN1004" s="11"/>
      <c r="CO1004" s="11"/>
      <c r="CP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row>
    <row r="1005" spans="19:174" x14ac:dyDescent="0.25">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F1005" s="11"/>
      <c r="CG1005" s="11"/>
      <c r="CH1005" s="11"/>
      <c r="CI1005" s="11"/>
      <c r="CJ1005" s="11"/>
      <c r="CK1005" s="11"/>
      <c r="CL1005" s="11"/>
      <c r="CM1005" s="11"/>
      <c r="CN1005" s="11"/>
      <c r="CO1005" s="11"/>
      <c r="CP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row>
    <row r="1006" spans="19:174" x14ac:dyDescent="0.25">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row>
    <row r="1007" spans="19:174" x14ac:dyDescent="0.25">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F1007" s="11"/>
      <c r="CG1007" s="11"/>
      <c r="CH1007" s="11"/>
      <c r="CI1007" s="11"/>
      <c r="CJ1007" s="11"/>
      <c r="CK1007" s="11"/>
      <c r="CL1007" s="11"/>
      <c r="CM1007" s="11"/>
      <c r="CN1007" s="11"/>
      <c r="CO1007" s="11"/>
      <c r="CP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row>
    <row r="1008" spans="19:174" x14ac:dyDescent="0.25">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F1008" s="11"/>
      <c r="CG1008" s="11"/>
      <c r="CH1008" s="11"/>
      <c r="CI1008" s="11"/>
      <c r="CJ1008" s="11"/>
      <c r="CK1008" s="11"/>
      <c r="CL1008" s="11"/>
      <c r="CM1008" s="11"/>
      <c r="CN1008" s="11"/>
      <c r="CO1008" s="11"/>
      <c r="CP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row>
    <row r="1009" spans="19:174" x14ac:dyDescent="0.25">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F1009" s="11"/>
      <c r="CG1009" s="11"/>
      <c r="CH1009" s="11"/>
      <c r="CI1009" s="11"/>
      <c r="CJ1009" s="11"/>
      <c r="CK1009" s="11"/>
      <c r="CL1009" s="11"/>
      <c r="CM1009" s="11"/>
      <c r="CN1009" s="11"/>
      <c r="CO1009" s="11"/>
      <c r="CP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row>
    <row r="1010" spans="19:174" x14ac:dyDescent="0.25">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F1010" s="11"/>
      <c r="CG1010" s="11"/>
      <c r="CH1010" s="11"/>
      <c r="CI1010" s="11"/>
      <c r="CJ1010" s="11"/>
      <c r="CK1010" s="11"/>
      <c r="CL1010" s="11"/>
      <c r="CM1010" s="11"/>
      <c r="CN1010" s="11"/>
      <c r="CO1010" s="11"/>
      <c r="CP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row>
    <row r="1011" spans="19:174" x14ac:dyDescent="0.25">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F1011" s="11"/>
      <c r="CG1011" s="11"/>
      <c r="CH1011" s="11"/>
      <c r="CI1011" s="11"/>
      <c r="CJ1011" s="11"/>
      <c r="CK1011" s="11"/>
      <c r="CL1011" s="11"/>
      <c r="CM1011" s="11"/>
      <c r="CN1011" s="11"/>
      <c r="CO1011" s="11"/>
      <c r="CP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row>
    <row r="1012" spans="19:174" x14ac:dyDescent="0.25">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1"/>
      <c r="CH1012" s="11"/>
      <c r="CI1012" s="11"/>
      <c r="CJ1012" s="11"/>
      <c r="CK1012" s="11"/>
      <c r="CL1012" s="11"/>
      <c r="CM1012" s="11"/>
      <c r="CN1012" s="11"/>
      <c r="CO1012" s="11"/>
      <c r="CP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row>
    <row r="1013" spans="19:174" x14ac:dyDescent="0.25">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F1013" s="11"/>
      <c r="CG1013" s="11"/>
      <c r="CH1013" s="11"/>
      <c r="CI1013" s="11"/>
      <c r="CJ1013" s="11"/>
      <c r="CK1013" s="11"/>
      <c r="CL1013" s="11"/>
      <c r="CM1013" s="11"/>
      <c r="CN1013" s="11"/>
      <c r="CO1013" s="11"/>
      <c r="CP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row>
    <row r="1014" spans="19:174" x14ac:dyDescent="0.25">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row>
    <row r="1015" spans="19:174" x14ac:dyDescent="0.25">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F1015" s="11"/>
      <c r="CG1015" s="11"/>
      <c r="CH1015" s="11"/>
      <c r="CI1015" s="11"/>
      <c r="CJ1015" s="11"/>
      <c r="CK1015" s="11"/>
      <c r="CL1015" s="11"/>
      <c r="CM1015" s="11"/>
      <c r="CN1015" s="11"/>
      <c r="CO1015" s="11"/>
      <c r="CP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row>
    <row r="1016" spans="19:174" x14ac:dyDescent="0.25">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F1016" s="11"/>
      <c r="CG1016" s="11"/>
      <c r="CH1016" s="11"/>
      <c r="CI1016" s="11"/>
      <c r="CJ1016" s="11"/>
      <c r="CK1016" s="11"/>
      <c r="CL1016" s="11"/>
      <c r="CM1016" s="11"/>
      <c r="CN1016" s="11"/>
      <c r="CO1016" s="11"/>
      <c r="CP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row>
    <row r="1017" spans="19:174" x14ac:dyDescent="0.25">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F1017" s="11"/>
      <c r="CG1017" s="11"/>
      <c r="CH1017" s="11"/>
      <c r="CI1017" s="11"/>
      <c r="CJ1017" s="11"/>
      <c r="CK1017" s="11"/>
      <c r="CL1017" s="11"/>
      <c r="CM1017" s="11"/>
      <c r="CN1017" s="11"/>
      <c r="CO1017" s="11"/>
      <c r="CP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row>
    <row r="1018" spans="19:174" x14ac:dyDescent="0.25">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F1018" s="11"/>
      <c r="CG1018" s="11"/>
      <c r="CH1018" s="11"/>
      <c r="CI1018" s="11"/>
      <c r="CJ1018" s="11"/>
      <c r="CK1018" s="11"/>
      <c r="CL1018" s="11"/>
      <c r="CM1018" s="11"/>
      <c r="CN1018" s="11"/>
      <c r="CO1018" s="11"/>
      <c r="CP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row>
    <row r="1019" spans="19:174" x14ac:dyDescent="0.25">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F1019" s="11"/>
      <c r="CG1019" s="11"/>
      <c r="CH1019" s="11"/>
      <c r="CI1019" s="11"/>
      <c r="CJ1019" s="11"/>
      <c r="CK1019" s="11"/>
      <c r="CL1019" s="11"/>
      <c r="CM1019" s="11"/>
      <c r="CN1019" s="11"/>
      <c r="CO1019" s="11"/>
      <c r="CP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row>
    <row r="1020" spans="19:174" x14ac:dyDescent="0.25">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F1020" s="11"/>
      <c r="CG1020" s="11"/>
      <c r="CH1020" s="11"/>
      <c r="CI1020" s="11"/>
      <c r="CJ1020" s="11"/>
      <c r="CK1020" s="11"/>
      <c r="CL1020" s="11"/>
      <c r="CM1020" s="11"/>
      <c r="CN1020" s="11"/>
      <c r="CO1020" s="11"/>
      <c r="CP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row>
    <row r="1021" spans="19:174" x14ac:dyDescent="0.25">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F1021" s="11"/>
      <c r="CG1021" s="11"/>
      <c r="CH1021" s="11"/>
      <c r="CI1021" s="11"/>
      <c r="CJ1021" s="11"/>
      <c r="CK1021" s="11"/>
      <c r="CL1021" s="11"/>
      <c r="CM1021" s="11"/>
      <c r="CN1021" s="11"/>
      <c r="CO1021" s="11"/>
      <c r="CP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row>
    <row r="1022" spans="19:174" x14ac:dyDescent="0.25">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row>
    <row r="1023" spans="19:174" x14ac:dyDescent="0.25">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F1023" s="11"/>
      <c r="CG1023" s="11"/>
      <c r="CH1023" s="11"/>
      <c r="CI1023" s="11"/>
      <c r="CJ1023" s="11"/>
      <c r="CK1023" s="11"/>
      <c r="CL1023" s="11"/>
      <c r="CM1023" s="11"/>
      <c r="CN1023" s="11"/>
      <c r="CO1023" s="11"/>
      <c r="CP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row>
    <row r="1024" spans="19:174" x14ac:dyDescent="0.25">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F1024" s="11"/>
      <c r="CG1024" s="11"/>
      <c r="CH1024" s="11"/>
      <c r="CI1024" s="11"/>
      <c r="CJ1024" s="11"/>
      <c r="CK1024" s="11"/>
      <c r="CL1024" s="11"/>
      <c r="CM1024" s="11"/>
      <c r="CN1024" s="11"/>
      <c r="CO1024" s="11"/>
      <c r="CP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row>
    <row r="1025" spans="19:174" x14ac:dyDescent="0.25">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1"/>
      <c r="CH1025" s="11"/>
      <c r="CI1025" s="11"/>
      <c r="CJ1025" s="11"/>
      <c r="CK1025" s="11"/>
      <c r="CL1025" s="11"/>
      <c r="CM1025" s="11"/>
      <c r="CN1025" s="11"/>
      <c r="CO1025" s="11"/>
      <c r="CP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row>
    <row r="1026" spans="19:174" x14ac:dyDescent="0.25">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F1026" s="11"/>
      <c r="CG1026" s="11"/>
      <c r="CH1026" s="11"/>
      <c r="CI1026" s="11"/>
      <c r="CJ1026" s="11"/>
      <c r="CK1026" s="11"/>
      <c r="CL1026" s="11"/>
      <c r="CM1026" s="11"/>
      <c r="CN1026" s="11"/>
      <c r="CO1026" s="11"/>
      <c r="CP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row>
    <row r="1027" spans="19:174" x14ac:dyDescent="0.25">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F1027" s="11"/>
      <c r="CG1027" s="11"/>
      <c r="CH1027" s="11"/>
      <c r="CI1027" s="11"/>
      <c r="CJ1027" s="11"/>
      <c r="CK1027" s="11"/>
      <c r="CL1027" s="11"/>
      <c r="CM1027" s="11"/>
      <c r="CN1027" s="11"/>
      <c r="CO1027" s="11"/>
      <c r="CP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row>
    <row r="1028" spans="19:174" x14ac:dyDescent="0.25">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F1028" s="11"/>
      <c r="CG1028" s="11"/>
      <c r="CH1028" s="11"/>
      <c r="CI1028" s="11"/>
      <c r="CJ1028" s="11"/>
      <c r="CK1028" s="11"/>
      <c r="CL1028" s="11"/>
      <c r="CM1028" s="11"/>
      <c r="CN1028" s="11"/>
      <c r="CO1028" s="11"/>
      <c r="CP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row>
    <row r="1029" spans="19:174" x14ac:dyDescent="0.25">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F1029" s="11"/>
      <c r="CG1029" s="11"/>
      <c r="CH1029" s="11"/>
      <c r="CI1029" s="11"/>
      <c r="CJ1029" s="11"/>
      <c r="CK1029" s="11"/>
      <c r="CL1029" s="11"/>
      <c r="CM1029" s="11"/>
      <c r="CN1029" s="11"/>
      <c r="CO1029" s="11"/>
      <c r="CP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row>
    <row r="1030" spans="19:174" x14ac:dyDescent="0.25">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row>
    <row r="1031" spans="19:174" x14ac:dyDescent="0.25">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F1031" s="11"/>
      <c r="CG1031" s="11"/>
      <c r="CH1031" s="11"/>
      <c r="CI1031" s="11"/>
      <c r="CJ1031" s="11"/>
      <c r="CK1031" s="11"/>
      <c r="CL1031" s="11"/>
      <c r="CM1031" s="11"/>
      <c r="CN1031" s="11"/>
      <c r="CO1031" s="11"/>
      <c r="CP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row>
    <row r="1032" spans="19:174" x14ac:dyDescent="0.25">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F1032" s="11"/>
      <c r="CG1032" s="11"/>
      <c r="CH1032" s="11"/>
      <c r="CI1032" s="11"/>
      <c r="CJ1032" s="11"/>
      <c r="CK1032" s="11"/>
      <c r="CL1032" s="11"/>
      <c r="CM1032" s="11"/>
      <c r="CN1032" s="11"/>
      <c r="CO1032" s="11"/>
      <c r="CP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row>
    <row r="1033" spans="19:174" x14ac:dyDescent="0.25">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F1033" s="11"/>
      <c r="CG1033" s="11"/>
      <c r="CH1033" s="11"/>
      <c r="CI1033" s="11"/>
      <c r="CJ1033" s="11"/>
      <c r="CK1033" s="11"/>
      <c r="CL1033" s="11"/>
      <c r="CM1033" s="11"/>
      <c r="CN1033" s="11"/>
      <c r="CO1033" s="11"/>
      <c r="CP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row>
    <row r="1034" spans="19:174" x14ac:dyDescent="0.25">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F1034" s="11"/>
      <c r="CG1034" s="11"/>
      <c r="CH1034" s="11"/>
      <c r="CI1034" s="11"/>
      <c r="CJ1034" s="11"/>
      <c r="CK1034" s="11"/>
      <c r="CL1034" s="11"/>
      <c r="CM1034" s="11"/>
      <c r="CN1034" s="11"/>
      <c r="CO1034" s="11"/>
      <c r="CP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row>
    <row r="1035" spans="19:174" x14ac:dyDescent="0.25">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F1035" s="11"/>
      <c r="CG1035" s="11"/>
      <c r="CH1035" s="11"/>
      <c r="CI1035" s="11"/>
      <c r="CJ1035" s="11"/>
      <c r="CK1035" s="11"/>
      <c r="CL1035" s="11"/>
      <c r="CM1035" s="11"/>
      <c r="CN1035" s="11"/>
      <c r="CO1035" s="11"/>
      <c r="CP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row>
    <row r="1036" spans="19:174" x14ac:dyDescent="0.25">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F1036" s="11"/>
      <c r="CG1036" s="11"/>
      <c r="CH1036" s="11"/>
      <c r="CI1036" s="11"/>
      <c r="CJ1036" s="11"/>
      <c r="CK1036" s="11"/>
      <c r="CL1036" s="11"/>
      <c r="CM1036" s="11"/>
      <c r="CN1036" s="11"/>
      <c r="CO1036" s="11"/>
      <c r="CP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row>
    <row r="1037" spans="19:174" x14ac:dyDescent="0.25">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F1037" s="11"/>
      <c r="CG1037" s="11"/>
      <c r="CH1037" s="11"/>
      <c r="CI1037" s="11"/>
      <c r="CJ1037" s="11"/>
      <c r="CK1037" s="11"/>
      <c r="CL1037" s="11"/>
      <c r="CM1037" s="11"/>
      <c r="CN1037" s="11"/>
      <c r="CO1037" s="11"/>
      <c r="CP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row>
    <row r="1038" spans="19:174" x14ac:dyDescent="0.25">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row>
    <row r="1039" spans="19:174" x14ac:dyDescent="0.25">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F1039" s="11"/>
      <c r="CG1039" s="11"/>
      <c r="CH1039" s="11"/>
      <c r="CI1039" s="11"/>
      <c r="CJ1039" s="11"/>
      <c r="CK1039" s="11"/>
      <c r="CL1039" s="11"/>
      <c r="CM1039" s="11"/>
      <c r="CN1039" s="11"/>
      <c r="CO1039" s="11"/>
      <c r="CP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row>
    <row r="1040" spans="19:174" x14ac:dyDescent="0.25">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F1040" s="11"/>
      <c r="CG1040" s="11"/>
      <c r="CH1040" s="11"/>
      <c r="CI1040" s="11"/>
      <c r="CJ1040" s="11"/>
      <c r="CK1040" s="11"/>
      <c r="CL1040" s="11"/>
      <c r="CM1040" s="11"/>
      <c r="CN1040" s="11"/>
      <c r="CO1040" s="11"/>
      <c r="CP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row>
    <row r="1041" spans="19:174" x14ac:dyDescent="0.25">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F1041" s="11"/>
      <c r="CG1041" s="11"/>
      <c r="CH1041" s="11"/>
      <c r="CI1041" s="11"/>
      <c r="CJ1041" s="11"/>
      <c r="CK1041" s="11"/>
      <c r="CL1041" s="11"/>
      <c r="CM1041" s="11"/>
      <c r="CN1041" s="11"/>
      <c r="CO1041" s="11"/>
      <c r="CP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row>
    <row r="1042" spans="19:174" x14ac:dyDescent="0.25">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F1042" s="11"/>
      <c r="CG1042" s="11"/>
      <c r="CH1042" s="11"/>
      <c r="CI1042" s="11"/>
      <c r="CJ1042" s="11"/>
      <c r="CK1042" s="11"/>
      <c r="CL1042" s="11"/>
      <c r="CM1042" s="11"/>
      <c r="CN1042" s="11"/>
      <c r="CO1042" s="11"/>
      <c r="CP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row>
    <row r="1043" spans="19:174" x14ac:dyDescent="0.25">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F1043" s="11"/>
      <c r="CG1043" s="11"/>
      <c r="CH1043" s="11"/>
      <c r="CI1043" s="11"/>
      <c r="CJ1043" s="11"/>
      <c r="CK1043" s="11"/>
      <c r="CL1043" s="11"/>
      <c r="CM1043" s="11"/>
      <c r="CN1043" s="11"/>
      <c r="CO1043" s="11"/>
      <c r="CP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row>
    <row r="1044" spans="19:174" x14ac:dyDescent="0.25">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row>
    <row r="1045" spans="19:174" x14ac:dyDescent="0.25">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F1045" s="11"/>
      <c r="CG1045" s="11"/>
      <c r="CH1045" s="11"/>
      <c r="CI1045" s="11"/>
      <c r="CJ1045" s="11"/>
      <c r="CK1045" s="11"/>
      <c r="CL1045" s="11"/>
      <c r="CM1045" s="11"/>
      <c r="CN1045" s="11"/>
      <c r="CO1045" s="11"/>
      <c r="CP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row>
    <row r="1046" spans="19:174" x14ac:dyDescent="0.25">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row>
    <row r="1047" spans="19:174" x14ac:dyDescent="0.25">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F1047" s="11"/>
      <c r="CG1047" s="11"/>
      <c r="CH1047" s="11"/>
      <c r="CI1047" s="11"/>
      <c r="CJ1047" s="11"/>
      <c r="CK1047" s="11"/>
      <c r="CL1047" s="11"/>
      <c r="CM1047" s="11"/>
      <c r="CN1047" s="11"/>
      <c r="CO1047" s="11"/>
      <c r="CP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row>
    <row r="1048" spans="19:174" x14ac:dyDescent="0.25">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F1048" s="11"/>
      <c r="CG1048" s="11"/>
      <c r="CH1048" s="11"/>
      <c r="CI1048" s="11"/>
      <c r="CJ1048" s="11"/>
      <c r="CK1048" s="11"/>
      <c r="CL1048" s="11"/>
      <c r="CM1048" s="11"/>
      <c r="CN1048" s="11"/>
      <c r="CO1048" s="11"/>
      <c r="CP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row>
    <row r="1049" spans="19:174" x14ac:dyDescent="0.25">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F1049" s="11"/>
      <c r="CG1049" s="11"/>
      <c r="CH1049" s="11"/>
      <c r="CI1049" s="11"/>
      <c r="CJ1049" s="11"/>
      <c r="CK1049" s="11"/>
      <c r="CL1049" s="11"/>
      <c r="CM1049" s="11"/>
      <c r="CN1049" s="11"/>
      <c r="CO1049" s="11"/>
      <c r="CP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row>
    <row r="1050" spans="19:174" x14ac:dyDescent="0.25">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row>
    <row r="1051" spans="19:174" x14ac:dyDescent="0.25">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row>
    <row r="1052" spans="19:174" x14ac:dyDescent="0.25">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row>
    <row r="1053" spans="19:174" x14ac:dyDescent="0.25">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F1053" s="11"/>
      <c r="CG1053" s="11"/>
      <c r="CH1053" s="11"/>
      <c r="CI1053" s="11"/>
      <c r="CJ1053" s="11"/>
      <c r="CK1053" s="11"/>
      <c r="CL1053" s="11"/>
      <c r="CM1053" s="11"/>
      <c r="CN1053" s="11"/>
      <c r="CO1053" s="11"/>
      <c r="CP1053" s="11"/>
      <c r="CQ1053" s="11"/>
      <c r="CR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row>
    <row r="1054" spans="19:174" x14ac:dyDescent="0.25">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row>
    <row r="1055" spans="19:174" x14ac:dyDescent="0.25">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F1055" s="11"/>
      <c r="CG1055" s="11"/>
      <c r="CH1055" s="11"/>
      <c r="CI1055" s="11"/>
      <c r="CJ1055" s="11"/>
      <c r="CK1055" s="11"/>
      <c r="CL1055" s="11"/>
      <c r="CM1055" s="11"/>
      <c r="CN1055" s="11"/>
      <c r="CO1055" s="11"/>
      <c r="CP1055" s="11"/>
      <c r="CQ1055" s="11"/>
      <c r="CR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row>
    <row r="1056" spans="19:174" x14ac:dyDescent="0.25">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F1056" s="11"/>
      <c r="CG1056" s="11"/>
      <c r="CH1056" s="11"/>
      <c r="CI1056" s="11"/>
      <c r="CJ1056" s="11"/>
      <c r="CK1056" s="11"/>
      <c r="CL1056" s="11"/>
      <c r="CM1056" s="11"/>
      <c r="CN1056" s="11"/>
      <c r="CO1056" s="11"/>
      <c r="CP1056" s="11"/>
      <c r="CQ1056" s="11"/>
      <c r="CR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row>
    <row r="1057" spans="19:174" x14ac:dyDescent="0.25">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F1057" s="11"/>
      <c r="CG1057" s="11"/>
      <c r="CH1057" s="11"/>
      <c r="CI1057" s="11"/>
      <c r="CJ1057" s="11"/>
      <c r="CK1057" s="11"/>
      <c r="CL1057" s="11"/>
      <c r="CM1057" s="11"/>
      <c r="CN1057" s="11"/>
      <c r="CO1057" s="11"/>
      <c r="CP1057" s="11"/>
      <c r="CQ1057" s="11"/>
      <c r="CR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row>
    <row r="1058" spans="19:174" x14ac:dyDescent="0.25">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F1058" s="11"/>
      <c r="CG1058" s="11"/>
      <c r="CH1058" s="11"/>
      <c r="CI1058" s="11"/>
      <c r="CJ1058" s="11"/>
      <c r="CK1058" s="11"/>
      <c r="CL1058" s="11"/>
      <c r="CM1058" s="11"/>
      <c r="CN1058" s="11"/>
      <c r="CO1058" s="11"/>
      <c r="CP1058" s="11"/>
      <c r="CQ1058" s="11"/>
      <c r="CR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row>
    <row r="1059" spans="19:174" x14ac:dyDescent="0.25">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F1059" s="11"/>
      <c r="CG1059" s="11"/>
      <c r="CH1059" s="11"/>
      <c r="CI1059" s="11"/>
      <c r="CJ1059" s="11"/>
      <c r="CK1059" s="11"/>
      <c r="CL1059" s="11"/>
      <c r="CM1059" s="11"/>
      <c r="CN1059" s="11"/>
      <c r="CO1059" s="11"/>
      <c r="CP1059" s="11"/>
      <c r="CQ1059" s="11"/>
      <c r="CR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row>
    <row r="1060" spans="19:174" x14ac:dyDescent="0.25">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F1060" s="11"/>
      <c r="CG1060" s="11"/>
      <c r="CH1060" s="11"/>
      <c r="CI1060" s="11"/>
      <c r="CJ1060" s="11"/>
      <c r="CK1060" s="11"/>
      <c r="CL1060" s="11"/>
      <c r="CM1060" s="11"/>
      <c r="CN1060" s="11"/>
      <c r="CO1060" s="11"/>
      <c r="CP1060" s="11"/>
      <c r="CQ1060" s="11"/>
      <c r="CR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row>
    <row r="1061" spans="19:174" x14ac:dyDescent="0.25">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F1061" s="11"/>
      <c r="CG1061" s="11"/>
      <c r="CH1061" s="11"/>
      <c r="CI1061" s="11"/>
      <c r="CJ1061" s="11"/>
      <c r="CK1061" s="11"/>
      <c r="CL1061" s="11"/>
      <c r="CM1061" s="11"/>
      <c r="CN1061" s="11"/>
      <c r="CO1061" s="11"/>
      <c r="CP1061" s="11"/>
      <c r="CQ1061" s="11"/>
      <c r="CR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row>
    <row r="1062" spans="19:174" x14ac:dyDescent="0.25">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row>
    <row r="1063" spans="19:174" x14ac:dyDescent="0.25">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F1063" s="11"/>
      <c r="CG1063" s="11"/>
      <c r="CH1063" s="11"/>
      <c r="CI1063" s="11"/>
      <c r="CJ1063" s="11"/>
      <c r="CK1063" s="11"/>
      <c r="CL1063" s="11"/>
      <c r="CM1063" s="11"/>
      <c r="CN1063" s="11"/>
      <c r="CO1063" s="11"/>
      <c r="CP1063" s="11"/>
      <c r="CQ1063" s="11"/>
      <c r="CR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row>
    <row r="1064" spans="19:174" x14ac:dyDescent="0.25">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1"/>
      <c r="CH1064" s="11"/>
      <c r="CI1064" s="11"/>
      <c r="CJ1064" s="11"/>
      <c r="CK1064" s="11"/>
      <c r="CL1064" s="11"/>
      <c r="CM1064" s="11"/>
      <c r="CN1064" s="11"/>
      <c r="CO1064" s="11"/>
      <c r="CP1064" s="11"/>
      <c r="CQ1064" s="11"/>
      <c r="CR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row>
    <row r="1065" spans="19:174" x14ac:dyDescent="0.25">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F1065" s="11"/>
      <c r="CG1065" s="11"/>
      <c r="CH1065" s="11"/>
      <c r="CI1065" s="11"/>
      <c r="CJ1065" s="11"/>
      <c r="CK1065" s="11"/>
      <c r="CL1065" s="11"/>
      <c r="CM1065" s="11"/>
      <c r="CN1065" s="11"/>
      <c r="CO1065" s="11"/>
      <c r="CP1065" s="11"/>
      <c r="CQ1065" s="11"/>
      <c r="CR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row>
    <row r="1066" spans="19:174" x14ac:dyDescent="0.25">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F1066" s="11"/>
      <c r="CG1066" s="11"/>
      <c r="CH1066" s="11"/>
      <c r="CI1066" s="11"/>
      <c r="CJ1066" s="11"/>
      <c r="CK1066" s="11"/>
      <c r="CL1066" s="11"/>
      <c r="CM1066" s="11"/>
      <c r="CN1066" s="11"/>
      <c r="CO1066" s="11"/>
      <c r="CP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row>
    <row r="1067" spans="19:174" x14ac:dyDescent="0.25">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F1067" s="11"/>
      <c r="CG1067" s="11"/>
      <c r="CH1067" s="11"/>
      <c r="CI1067" s="11"/>
      <c r="CJ1067" s="11"/>
      <c r="CK1067" s="11"/>
      <c r="CL1067" s="11"/>
      <c r="CM1067" s="11"/>
      <c r="CN1067" s="11"/>
      <c r="CO1067" s="11"/>
      <c r="CP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row>
    <row r="1068" spans="19:174" x14ac:dyDescent="0.25">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F1068" s="11"/>
      <c r="CG1068" s="11"/>
      <c r="CH1068" s="11"/>
      <c r="CI1068" s="11"/>
      <c r="CJ1068" s="11"/>
      <c r="CK1068" s="11"/>
      <c r="CL1068" s="11"/>
      <c r="CM1068" s="11"/>
      <c r="CN1068" s="11"/>
      <c r="CO1068" s="11"/>
      <c r="CP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row>
    <row r="1069" spans="19:174" x14ac:dyDescent="0.25">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F1069" s="11"/>
      <c r="CG1069" s="11"/>
      <c r="CH1069" s="11"/>
      <c r="CI1069" s="11"/>
      <c r="CJ1069" s="11"/>
      <c r="CK1069" s="11"/>
      <c r="CL1069" s="11"/>
      <c r="CM1069" s="11"/>
      <c r="CN1069" s="11"/>
      <c r="CO1069" s="11"/>
      <c r="CP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row>
    <row r="1070" spans="19:174" x14ac:dyDescent="0.25">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row>
    <row r="1071" spans="19:174" x14ac:dyDescent="0.25">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F1071" s="11"/>
      <c r="CG1071" s="11"/>
      <c r="CH1071" s="11"/>
      <c r="CI1071" s="11"/>
      <c r="CJ1071" s="11"/>
      <c r="CK1071" s="11"/>
      <c r="CL1071" s="11"/>
      <c r="CM1071" s="11"/>
      <c r="CN1071" s="11"/>
      <c r="CO1071" s="11"/>
      <c r="CP1071" s="11"/>
      <c r="CQ1071" s="11"/>
      <c r="CR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row>
    <row r="1072" spans="19:174" x14ac:dyDescent="0.25">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F1072" s="11"/>
      <c r="CG1072" s="11"/>
      <c r="CH1072" s="11"/>
      <c r="CI1072" s="11"/>
      <c r="CJ1072" s="11"/>
      <c r="CK1072" s="11"/>
      <c r="CL1072" s="11"/>
      <c r="CM1072" s="11"/>
      <c r="CN1072" s="11"/>
      <c r="CO1072" s="11"/>
      <c r="CP1072" s="11"/>
      <c r="CQ1072" s="11"/>
      <c r="CR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row>
    <row r="1073" spans="19:174" x14ac:dyDescent="0.25">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F1073" s="11"/>
      <c r="CG1073" s="11"/>
      <c r="CH1073" s="11"/>
      <c r="CI1073" s="11"/>
      <c r="CJ1073" s="11"/>
      <c r="CK1073" s="11"/>
      <c r="CL1073" s="11"/>
      <c r="CM1073" s="11"/>
      <c r="CN1073" s="11"/>
      <c r="CO1073" s="11"/>
      <c r="CP1073" s="11"/>
      <c r="CQ1073" s="11"/>
      <c r="CR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row>
    <row r="1074" spans="19:174" x14ac:dyDescent="0.25">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F1074" s="11"/>
      <c r="CG1074" s="11"/>
      <c r="CH1074" s="11"/>
      <c r="CI1074" s="11"/>
      <c r="CJ1074" s="11"/>
      <c r="CK1074" s="11"/>
      <c r="CL1074" s="11"/>
      <c r="CM1074" s="11"/>
      <c r="CN1074" s="11"/>
      <c r="CO1074" s="11"/>
      <c r="CP1074" s="11"/>
      <c r="CQ1074" s="11"/>
      <c r="CR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row>
    <row r="1075" spans="19:174" x14ac:dyDescent="0.25">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F1075" s="11"/>
      <c r="CG1075" s="11"/>
      <c r="CH1075" s="11"/>
      <c r="CI1075" s="11"/>
      <c r="CJ1075" s="11"/>
      <c r="CK1075" s="11"/>
      <c r="CL1075" s="11"/>
      <c r="CM1075" s="11"/>
      <c r="CN1075" s="11"/>
      <c r="CO1075" s="11"/>
      <c r="CP1075" s="11"/>
      <c r="CQ1075" s="11"/>
      <c r="CR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row>
    <row r="1076" spans="19:174" x14ac:dyDescent="0.25">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F1076" s="11"/>
      <c r="CG1076" s="11"/>
      <c r="CH1076" s="11"/>
      <c r="CI1076" s="11"/>
      <c r="CJ1076" s="11"/>
      <c r="CK1076" s="11"/>
      <c r="CL1076" s="11"/>
      <c r="CM1076" s="11"/>
      <c r="CN1076" s="11"/>
      <c r="CO1076" s="11"/>
      <c r="CP1076" s="11"/>
      <c r="CQ1076" s="11"/>
      <c r="CR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row>
    <row r="1077" spans="19:174" x14ac:dyDescent="0.25">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1"/>
      <c r="CH1077" s="11"/>
      <c r="CI1077" s="11"/>
      <c r="CJ1077" s="11"/>
      <c r="CK1077" s="11"/>
      <c r="CL1077" s="11"/>
      <c r="CM1077" s="11"/>
      <c r="CN1077" s="11"/>
      <c r="CO1077" s="11"/>
      <c r="CP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row>
    <row r="1078" spans="19:174" x14ac:dyDescent="0.25">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row>
    <row r="1079" spans="19:174" x14ac:dyDescent="0.25">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F1079" s="11"/>
      <c r="CG1079" s="11"/>
      <c r="CH1079" s="11"/>
      <c r="CI1079" s="11"/>
      <c r="CJ1079" s="11"/>
      <c r="CK1079" s="11"/>
      <c r="CL1079" s="11"/>
      <c r="CM1079" s="11"/>
      <c r="CN1079" s="11"/>
      <c r="CO1079" s="11"/>
      <c r="CP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row>
    <row r="1080" spans="19:174" x14ac:dyDescent="0.25">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F1080" s="11"/>
      <c r="CG1080" s="11"/>
      <c r="CH1080" s="11"/>
      <c r="CI1080" s="11"/>
      <c r="CJ1080" s="11"/>
      <c r="CK1080" s="11"/>
      <c r="CL1080" s="11"/>
      <c r="CM1080" s="11"/>
      <c r="CN1080" s="11"/>
      <c r="CO1080" s="11"/>
      <c r="CP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row>
    <row r="1081" spans="19:174" x14ac:dyDescent="0.25">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F1081" s="11"/>
      <c r="CG1081" s="11"/>
      <c r="CH1081" s="11"/>
      <c r="CI1081" s="11"/>
      <c r="CJ1081" s="11"/>
      <c r="CK1081" s="11"/>
      <c r="CL1081" s="11"/>
      <c r="CM1081" s="11"/>
      <c r="CN1081" s="11"/>
      <c r="CO1081" s="11"/>
      <c r="CP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row>
    <row r="1082" spans="19:174" x14ac:dyDescent="0.25">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F1082" s="11"/>
      <c r="CG1082" s="11"/>
      <c r="CH1082" s="11"/>
      <c r="CI1082" s="11"/>
      <c r="CJ1082" s="11"/>
      <c r="CK1082" s="11"/>
      <c r="CL1082" s="11"/>
      <c r="CM1082" s="11"/>
      <c r="CN1082" s="11"/>
      <c r="CO1082" s="11"/>
      <c r="CP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row>
    <row r="1083" spans="19:174" x14ac:dyDescent="0.25">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F1083" s="11"/>
      <c r="CG1083" s="11"/>
      <c r="CH1083" s="11"/>
      <c r="CI1083" s="11"/>
      <c r="CJ1083" s="11"/>
      <c r="CK1083" s="11"/>
      <c r="CL1083" s="11"/>
      <c r="CM1083" s="11"/>
      <c r="CN1083" s="11"/>
      <c r="CO1083" s="11"/>
      <c r="CP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row>
    <row r="1084" spans="19:174" x14ac:dyDescent="0.25">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F1084" s="11"/>
      <c r="CG1084" s="11"/>
      <c r="CH1084" s="11"/>
      <c r="CI1084" s="11"/>
      <c r="CJ1084" s="11"/>
      <c r="CK1084" s="11"/>
      <c r="CL1084" s="11"/>
      <c r="CM1084" s="11"/>
      <c r="CN1084" s="11"/>
      <c r="CO1084" s="11"/>
      <c r="CP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row>
    <row r="1085" spans="19:174" x14ac:dyDescent="0.25">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F1085" s="11"/>
      <c r="CG1085" s="11"/>
      <c r="CH1085" s="11"/>
      <c r="CI1085" s="11"/>
      <c r="CJ1085" s="11"/>
      <c r="CK1085" s="11"/>
      <c r="CL1085" s="11"/>
      <c r="CM1085" s="11"/>
      <c r="CN1085" s="11"/>
      <c r="CO1085" s="11"/>
      <c r="CP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row>
    <row r="1086" spans="19:174" x14ac:dyDescent="0.25">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row>
    <row r="1087" spans="19:174" x14ac:dyDescent="0.25">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F1087" s="11"/>
      <c r="CG1087" s="11"/>
      <c r="CH1087" s="11"/>
      <c r="CI1087" s="11"/>
      <c r="CJ1087" s="11"/>
      <c r="CK1087" s="11"/>
      <c r="CL1087" s="11"/>
      <c r="CM1087" s="11"/>
      <c r="CN1087" s="11"/>
      <c r="CO1087" s="11"/>
      <c r="CP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row>
    <row r="1088" spans="19:174" x14ac:dyDescent="0.25">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F1088" s="11"/>
      <c r="CG1088" s="11"/>
      <c r="CH1088" s="11"/>
      <c r="CI1088" s="11"/>
      <c r="CJ1088" s="11"/>
      <c r="CK1088" s="11"/>
      <c r="CL1088" s="11"/>
      <c r="CM1088" s="11"/>
      <c r="CN1088" s="11"/>
      <c r="CO1088" s="11"/>
      <c r="CP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row>
    <row r="1089" spans="19:174" x14ac:dyDescent="0.25">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F1089" s="11"/>
      <c r="CG1089" s="11"/>
      <c r="CH1089" s="11"/>
      <c r="CI1089" s="11"/>
      <c r="CJ1089" s="11"/>
      <c r="CK1089" s="11"/>
      <c r="CL1089" s="11"/>
      <c r="CM1089" s="11"/>
      <c r="CN1089" s="11"/>
      <c r="CO1089" s="11"/>
      <c r="CP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row>
    <row r="1090" spans="19:174" x14ac:dyDescent="0.25">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1"/>
      <c r="CH1090" s="11"/>
      <c r="CI1090" s="11"/>
      <c r="CJ1090" s="11"/>
      <c r="CK1090" s="11"/>
      <c r="CL1090" s="11"/>
      <c r="CM1090" s="11"/>
      <c r="CN1090" s="11"/>
      <c r="CO1090" s="11"/>
      <c r="CP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row>
    <row r="1091" spans="19:174" x14ac:dyDescent="0.25">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F1091" s="11"/>
      <c r="CG1091" s="11"/>
      <c r="CH1091" s="11"/>
      <c r="CI1091" s="11"/>
      <c r="CJ1091" s="11"/>
      <c r="CK1091" s="11"/>
      <c r="CL1091" s="11"/>
      <c r="CM1091" s="11"/>
      <c r="CN1091" s="11"/>
      <c r="CO1091" s="11"/>
      <c r="CP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row>
    <row r="1092" spans="19:174" x14ac:dyDescent="0.25">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F1092" s="11"/>
      <c r="CG1092" s="11"/>
      <c r="CH1092" s="11"/>
      <c r="CI1092" s="11"/>
      <c r="CJ1092" s="11"/>
      <c r="CK1092" s="11"/>
      <c r="CL1092" s="11"/>
      <c r="CM1092" s="11"/>
      <c r="CN1092" s="11"/>
      <c r="CO1092" s="11"/>
      <c r="CP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row>
    <row r="1093" spans="19:174" x14ac:dyDescent="0.25">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F1093" s="11"/>
      <c r="CG1093" s="11"/>
      <c r="CH1093" s="11"/>
      <c r="CI1093" s="11"/>
      <c r="CJ1093" s="11"/>
      <c r="CK1093" s="11"/>
      <c r="CL1093" s="11"/>
      <c r="CM1093" s="11"/>
      <c r="CN1093" s="11"/>
      <c r="CO1093" s="11"/>
      <c r="CP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row>
    <row r="1094" spans="19:174" x14ac:dyDescent="0.25">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row>
    <row r="1095" spans="19:174" x14ac:dyDescent="0.25">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F1095" s="11"/>
      <c r="CG1095" s="11"/>
      <c r="CH1095" s="11"/>
      <c r="CI1095" s="11"/>
      <c r="CJ1095" s="11"/>
      <c r="CK1095" s="11"/>
      <c r="CL1095" s="11"/>
      <c r="CM1095" s="11"/>
      <c r="CN1095" s="11"/>
      <c r="CO1095" s="11"/>
      <c r="CP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row>
    <row r="1096" spans="19:174" x14ac:dyDescent="0.25">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F1096" s="11"/>
      <c r="CG1096" s="11"/>
      <c r="CH1096" s="11"/>
      <c r="CI1096" s="11"/>
      <c r="CJ1096" s="11"/>
      <c r="CK1096" s="11"/>
      <c r="CL1096" s="11"/>
      <c r="CM1096" s="11"/>
      <c r="CN1096" s="11"/>
      <c r="CO1096" s="11"/>
      <c r="CP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row>
    <row r="1097" spans="19:174" x14ac:dyDescent="0.25">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F1097" s="11"/>
      <c r="CG1097" s="11"/>
      <c r="CH1097" s="11"/>
      <c r="CI1097" s="11"/>
      <c r="CJ1097" s="11"/>
      <c r="CK1097" s="11"/>
      <c r="CL1097" s="11"/>
      <c r="CM1097" s="11"/>
      <c r="CN1097" s="11"/>
      <c r="CO1097" s="11"/>
      <c r="CP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row>
    <row r="1098" spans="19:174" x14ac:dyDescent="0.25">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F1098" s="11"/>
      <c r="CG1098" s="11"/>
      <c r="CH1098" s="11"/>
      <c r="CI1098" s="11"/>
      <c r="CJ1098" s="11"/>
      <c r="CK1098" s="11"/>
      <c r="CL1098" s="11"/>
      <c r="CM1098" s="11"/>
      <c r="CN1098" s="11"/>
      <c r="CO1098" s="11"/>
      <c r="CP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row>
    <row r="1099" spans="19:174" x14ac:dyDescent="0.25">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F1099" s="11"/>
      <c r="CG1099" s="11"/>
      <c r="CH1099" s="11"/>
      <c r="CI1099" s="11"/>
      <c r="CJ1099" s="11"/>
      <c r="CK1099" s="11"/>
      <c r="CL1099" s="11"/>
      <c r="CM1099" s="11"/>
      <c r="CN1099" s="11"/>
      <c r="CO1099" s="11"/>
      <c r="CP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row>
    <row r="1100" spans="19:174" x14ac:dyDescent="0.25">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F1100" s="11"/>
      <c r="CG1100" s="11"/>
      <c r="CH1100" s="11"/>
      <c r="CI1100" s="11"/>
      <c r="CJ1100" s="11"/>
      <c r="CK1100" s="11"/>
      <c r="CL1100" s="11"/>
      <c r="CM1100" s="11"/>
      <c r="CN1100" s="11"/>
      <c r="CO1100" s="11"/>
      <c r="CP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row>
    <row r="1101" spans="19:174" x14ac:dyDescent="0.25">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F1101" s="11"/>
      <c r="CG1101" s="11"/>
      <c r="CH1101" s="11"/>
      <c r="CI1101" s="11"/>
      <c r="CJ1101" s="11"/>
      <c r="CK1101" s="11"/>
      <c r="CL1101" s="11"/>
      <c r="CM1101" s="11"/>
      <c r="CN1101" s="11"/>
      <c r="CO1101" s="11"/>
      <c r="CP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row>
    <row r="1102" spans="19:174" x14ac:dyDescent="0.25">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row>
    <row r="1103" spans="19:174" x14ac:dyDescent="0.25">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1"/>
      <c r="CH1103" s="11"/>
      <c r="CI1103" s="11"/>
      <c r="CJ1103" s="11"/>
      <c r="CK1103" s="11"/>
      <c r="CL1103" s="11"/>
      <c r="CM1103" s="11"/>
      <c r="CN1103" s="11"/>
      <c r="CO1103" s="11"/>
      <c r="CP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row>
    <row r="1104" spans="19:174" x14ac:dyDescent="0.25">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F1104" s="11"/>
      <c r="CG1104" s="11"/>
      <c r="CH1104" s="11"/>
      <c r="CI1104" s="11"/>
      <c r="CJ1104" s="11"/>
      <c r="CK1104" s="11"/>
      <c r="CL1104" s="11"/>
      <c r="CM1104" s="11"/>
      <c r="CN1104" s="11"/>
      <c r="CO1104" s="11"/>
      <c r="CP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row>
    <row r="1105" spans="19:174" x14ac:dyDescent="0.25">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F1105" s="11"/>
      <c r="CG1105" s="11"/>
      <c r="CH1105" s="11"/>
      <c r="CI1105" s="11"/>
      <c r="CJ1105" s="11"/>
      <c r="CK1105" s="11"/>
      <c r="CL1105" s="11"/>
      <c r="CM1105" s="11"/>
      <c r="CN1105" s="11"/>
      <c r="CO1105" s="11"/>
      <c r="CP1105" s="11"/>
      <c r="CQ1105" s="11"/>
      <c r="CR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row>
    <row r="1106" spans="19:174" x14ac:dyDescent="0.25">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F1106" s="11"/>
      <c r="CG1106" s="11"/>
      <c r="CH1106" s="11"/>
      <c r="CI1106" s="11"/>
      <c r="CJ1106" s="11"/>
      <c r="CK1106" s="11"/>
      <c r="CL1106" s="11"/>
      <c r="CM1106" s="11"/>
      <c r="CN1106" s="11"/>
      <c r="CO1106" s="11"/>
      <c r="CP1106" s="11"/>
      <c r="CQ1106" s="11"/>
      <c r="CR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row>
    <row r="1107" spans="19:174" x14ac:dyDescent="0.25">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F1107" s="11"/>
      <c r="CG1107" s="11"/>
      <c r="CH1107" s="11"/>
      <c r="CI1107" s="11"/>
      <c r="CJ1107" s="11"/>
      <c r="CK1107" s="11"/>
      <c r="CL1107" s="11"/>
      <c r="CM1107" s="11"/>
      <c r="CN1107" s="11"/>
      <c r="CO1107" s="11"/>
      <c r="CP1107" s="11"/>
      <c r="CQ1107" s="11"/>
      <c r="CR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row>
    <row r="1108" spans="19:174" x14ac:dyDescent="0.25">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F1108" s="11"/>
      <c r="CG1108" s="11"/>
      <c r="CH1108" s="11"/>
      <c r="CI1108" s="11"/>
      <c r="CJ1108" s="11"/>
      <c r="CK1108" s="11"/>
      <c r="CL1108" s="11"/>
      <c r="CM1108" s="11"/>
      <c r="CN1108" s="11"/>
      <c r="CO1108" s="11"/>
      <c r="CP1108" s="11"/>
      <c r="CQ1108" s="11"/>
      <c r="CR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row>
    <row r="1109" spans="19:174" x14ac:dyDescent="0.25">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F1109" s="11"/>
      <c r="CG1109" s="11"/>
      <c r="CH1109" s="11"/>
      <c r="CI1109" s="11"/>
      <c r="CJ1109" s="11"/>
      <c r="CK1109" s="11"/>
      <c r="CL1109" s="11"/>
      <c r="CM1109" s="11"/>
      <c r="CN1109" s="11"/>
      <c r="CO1109" s="11"/>
      <c r="CP1109" s="11"/>
      <c r="CQ1109" s="11"/>
      <c r="CR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row>
    <row r="1110" spans="19:174" x14ac:dyDescent="0.25">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row>
    <row r="1111" spans="19:174" x14ac:dyDescent="0.25">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F1111" s="11"/>
      <c r="CG1111" s="11"/>
      <c r="CH1111" s="11"/>
      <c r="CI1111" s="11"/>
      <c r="CJ1111" s="11"/>
      <c r="CK1111" s="11"/>
      <c r="CL1111" s="11"/>
      <c r="CM1111" s="11"/>
      <c r="CN1111" s="11"/>
      <c r="CO1111" s="11"/>
      <c r="CP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row>
    <row r="1112" spans="19:174" x14ac:dyDescent="0.25">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F1112" s="11"/>
      <c r="CG1112" s="11"/>
      <c r="CH1112" s="11"/>
      <c r="CI1112" s="11"/>
      <c r="CJ1112" s="11"/>
      <c r="CK1112" s="11"/>
      <c r="CL1112" s="11"/>
      <c r="CM1112" s="11"/>
      <c r="CN1112" s="11"/>
      <c r="CO1112" s="11"/>
      <c r="CP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row>
    <row r="1113" spans="19:174" x14ac:dyDescent="0.25">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F1113" s="11"/>
      <c r="CG1113" s="11"/>
      <c r="CH1113" s="11"/>
      <c r="CI1113" s="11"/>
      <c r="CJ1113" s="11"/>
      <c r="CK1113" s="11"/>
      <c r="CL1113" s="11"/>
      <c r="CM1113" s="11"/>
      <c r="CN1113" s="11"/>
      <c r="CO1113" s="11"/>
      <c r="CP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row>
    <row r="1114" spans="19:174" x14ac:dyDescent="0.25">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F1114" s="11"/>
      <c r="CG1114" s="11"/>
      <c r="CH1114" s="11"/>
      <c r="CI1114" s="11"/>
      <c r="CJ1114" s="11"/>
      <c r="CK1114" s="11"/>
      <c r="CL1114" s="11"/>
      <c r="CM1114" s="11"/>
      <c r="CN1114" s="11"/>
      <c r="CO1114" s="11"/>
      <c r="CP1114" s="11"/>
      <c r="CQ1114" s="11"/>
      <c r="CR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row>
    <row r="1115" spans="19:174" x14ac:dyDescent="0.25">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F1115" s="11"/>
      <c r="CG1115" s="11"/>
      <c r="CH1115" s="11"/>
      <c r="CI1115" s="11"/>
      <c r="CJ1115" s="11"/>
      <c r="CK1115" s="11"/>
      <c r="CL1115" s="11"/>
      <c r="CM1115" s="11"/>
      <c r="CN1115" s="11"/>
      <c r="CO1115" s="11"/>
      <c r="CP1115" s="11"/>
      <c r="CQ1115" s="11"/>
      <c r="CR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row>
    <row r="1116" spans="19:174" x14ac:dyDescent="0.25">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1"/>
      <c r="CH1116" s="11"/>
      <c r="CI1116" s="11"/>
      <c r="CJ1116" s="11"/>
      <c r="CK1116" s="11"/>
      <c r="CL1116" s="11"/>
      <c r="CM1116" s="11"/>
      <c r="CN1116" s="11"/>
      <c r="CO1116" s="11"/>
      <c r="CP1116" s="11"/>
      <c r="CQ1116" s="11"/>
      <c r="CR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row>
    <row r="1117" spans="19:174" x14ac:dyDescent="0.25">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F1117" s="11"/>
      <c r="CG1117" s="11"/>
      <c r="CH1117" s="11"/>
      <c r="CI1117" s="11"/>
      <c r="CJ1117" s="11"/>
      <c r="CK1117" s="11"/>
      <c r="CL1117" s="11"/>
      <c r="CM1117" s="11"/>
      <c r="CN1117" s="11"/>
      <c r="CO1117" s="11"/>
      <c r="CP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row>
    <row r="1118" spans="19:174" x14ac:dyDescent="0.25">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row>
    <row r="1119" spans="19:174" x14ac:dyDescent="0.25">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F1119" s="11"/>
      <c r="CG1119" s="11"/>
      <c r="CH1119" s="11"/>
      <c r="CI1119" s="11"/>
      <c r="CJ1119" s="11"/>
      <c r="CK1119" s="11"/>
      <c r="CL1119" s="11"/>
      <c r="CM1119" s="11"/>
      <c r="CN1119" s="11"/>
      <c r="CO1119" s="11"/>
      <c r="CP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row>
    <row r="1120" spans="19:174" x14ac:dyDescent="0.25">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F1120" s="11"/>
      <c r="CG1120" s="11"/>
      <c r="CH1120" s="11"/>
      <c r="CI1120" s="11"/>
      <c r="CJ1120" s="11"/>
      <c r="CK1120" s="11"/>
      <c r="CL1120" s="11"/>
      <c r="CM1120" s="11"/>
      <c r="CN1120" s="11"/>
      <c r="CO1120" s="11"/>
      <c r="CP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row>
    <row r="1121" spans="19:174" x14ac:dyDescent="0.25">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F1121" s="11"/>
      <c r="CG1121" s="11"/>
      <c r="CH1121" s="11"/>
      <c r="CI1121" s="11"/>
      <c r="CJ1121" s="11"/>
      <c r="CK1121" s="11"/>
      <c r="CL1121" s="11"/>
      <c r="CM1121" s="11"/>
      <c r="CN1121" s="11"/>
      <c r="CO1121" s="11"/>
      <c r="CP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row>
    <row r="1122" spans="19:174" x14ac:dyDescent="0.25">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F1122" s="11"/>
      <c r="CG1122" s="11"/>
      <c r="CH1122" s="11"/>
      <c r="CI1122" s="11"/>
      <c r="CJ1122" s="11"/>
      <c r="CK1122" s="11"/>
      <c r="CL1122" s="11"/>
      <c r="CM1122" s="11"/>
      <c r="CN1122" s="11"/>
      <c r="CO1122" s="11"/>
      <c r="CP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row>
    <row r="1123" spans="19:174" x14ac:dyDescent="0.25">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F1123" s="11"/>
      <c r="CG1123" s="11"/>
      <c r="CH1123" s="11"/>
      <c r="CI1123" s="11"/>
      <c r="CJ1123" s="11"/>
      <c r="CK1123" s="11"/>
      <c r="CL1123" s="11"/>
      <c r="CM1123" s="11"/>
      <c r="CN1123" s="11"/>
      <c r="CO1123" s="11"/>
      <c r="CP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row>
    <row r="1124" spans="19:174" x14ac:dyDescent="0.25">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F1124" s="11"/>
      <c r="CG1124" s="11"/>
      <c r="CH1124" s="11"/>
      <c r="CI1124" s="11"/>
      <c r="CJ1124" s="11"/>
      <c r="CK1124" s="11"/>
      <c r="CL1124" s="11"/>
      <c r="CM1124" s="11"/>
      <c r="CN1124" s="11"/>
      <c r="CO1124" s="11"/>
      <c r="CP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row>
    <row r="1125" spans="19:174" x14ac:dyDescent="0.25">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F1125" s="11"/>
      <c r="CG1125" s="11"/>
      <c r="CH1125" s="11"/>
      <c r="CI1125" s="11"/>
      <c r="CJ1125" s="11"/>
      <c r="CK1125" s="11"/>
      <c r="CL1125" s="11"/>
      <c r="CM1125" s="11"/>
      <c r="CN1125" s="11"/>
      <c r="CO1125" s="11"/>
      <c r="CP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row>
    <row r="1126" spans="19:174" x14ac:dyDescent="0.25">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row>
    <row r="1127" spans="19:174" x14ac:dyDescent="0.25">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F1127" s="11"/>
      <c r="CG1127" s="11"/>
      <c r="CH1127" s="11"/>
      <c r="CI1127" s="11"/>
      <c r="CJ1127" s="11"/>
      <c r="CK1127" s="11"/>
      <c r="CL1127" s="11"/>
      <c r="CM1127" s="11"/>
      <c r="CN1127" s="11"/>
      <c r="CO1127" s="11"/>
      <c r="CP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row>
  </sheetData>
  <customSheetViews>
    <customSheetView guid="{7F222B88-8DE7-4209-9261-78C075D2F561}" showPageBreaks="1" printArea="1" hiddenColumns="1" view="pageBreakPreview" showRuler="0">
      <pane ySplit="2" topLeftCell="A222" activePane="bottomLeft" state="frozen"/>
      <selection pane="bottomLeft" activeCell="E12" sqref="E12:E48"/>
      <rowBreaks count="3" manualBreakCount="3">
        <brk id="60" max="12" man="1"/>
        <brk id="109" max="12" man="1"/>
        <brk id="173" max="12" man="1"/>
      </rowBreaks>
      <pageMargins left="0.74803149606299213" right="0.62992125984251968" top="0.70866141732283472" bottom="0.70866141732283472" header="0.51181102362204722" footer="0.51181102362204722"/>
      <pageSetup paperSize="9" scale="67" orientation="portrait" r:id="rId1"/>
      <headerFooter alignWithMargins="0">
        <oddFooter>&amp;C&amp;"Arial Narrow,Regular"Page &amp;P of &amp;N</oddFooter>
      </headerFooter>
    </customSheetView>
  </customSheetViews>
  <mergeCells count="1">
    <mergeCell ref="H1:I1"/>
  </mergeCells>
  <phoneticPr fontId="17" type="noConversion"/>
  <pageMargins left="0.31496062992125984" right="0.31496062992125984" top="0.35433070866141736" bottom="0.35433070866141736" header="0.11811023622047245" footer="0.11811023622047245"/>
  <pageSetup paperSize="9" orientation="portrait" r:id="rId2"/>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92D050"/>
  </sheetPr>
  <dimension ref="A1:T441"/>
  <sheetViews>
    <sheetView showGridLines="0" view="pageBreakPreview" zoomScaleNormal="85" zoomScaleSheetLayoutView="100" workbookViewId="0">
      <pane ySplit="2" topLeftCell="A3" activePane="bottomLeft" state="frozen"/>
      <selection pane="bottomLeft"/>
    </sheetView>
  </sheetViews>
  <sheetFormatPr defaultColWidth="10.69921875" defaultRowHeight="14.4" x14ac:dyDescent="0.25"/>
  <cols>
    <col min="1" max="1" width="9.59765625" style="16" customWidth="1"/>
    <col min="2" max="2" width="6.5" style="16" customWidth="1"/>
    <col min="3" max="3" width="3.59765625" style="119" customWidth="1"/>
    <col min="4" max="4" width="3.19921875" style="119" customWidth="1"/>
    <col min="5" max="5" width="17.3984375" style="113" customWidth="1"/>
    <col min="6" max="6" width="7.8984375" style="16" customWidth="1"/>
    <col min="7" max="7" width="8.19921875" style="16" customWidth="1"/>
    <col min="8" max="8" width="9.19921875" style="16" customWidth="1"/>
    <col min="9" max="9" width="9.5" style="16" customWidth="1"/>
    <col min="10" max="10" width="8.09765625" style="16" customWidth="1"/>
    <col min="11" max="11" width="8.59765625" style="16" customWidth="1"/>
    <col min="12" max="12" width="6.09765625" style="16" customWidth="1"/>
    <col min="13" max="13" width="7.5" style="16" customWidth="1"/>
    <col min="14" max="14" width="11.09765625" style="16" customWidth="1"/>
    <col min="15" max="16384" width="10.69921875" style="16"/>
  </cols>
  <sheetData>
    <row r="1" spans="1:15" ht="19.5" customHeight="1" x14ac:dyDescent="0.25">
      <c r="A1" s="145" t="s">
        <v>206</v>
      </c>
      <c r="B1" s="145"/>
      <c r="C1" s="71" t="str">
        <f>IF('Merge Details_Printing instr'!$B$11="Insert details here",'Merge Details_Printing instr'!$A$11,'Merge Details_Printing instr'!$B$11)</f>
        <v>Council Name</v>
      </c>
      <c r="D1" s="71"/>
      <c r="E1" s="71"/>
      <c r="F1" s="2195" t="s">
        <v>303</v>
      </c>
      <c r="G1" s="2195"/>
      <c r="H1" s="2195"/>
      <c r="I1" s="2195"/>
      <c r="J1" s="2195"/>
      <c r="K1" s="2195"/>
      <c r="L1" s="2195"/>
      <c r="M1" s="2195"/>
      <c r="N1" s="18"/>
    </row>
    <row r="2" spans="1:15" ht="19.5" customHeight="1" x14ac:dyDescent="0.25">
      <c r="A2" s="145" t="s">
        <v>696</v>
      </c>
      <c r="B2" s="145" t="s">
        <v>207</v>
      </c>
      <c r="C2" s="432" t="str">
        <f>'Merge Details_Printing instr'!A12</f>
        <v>2023-2024 Financial Report</v>
      </c>
      <c r="D2" s="432"/>
      <c r="E2" s="432"/>
      <c r="F2" s="2196" t="str">
        <f>'Merge Details_Printing instr'!$A$14</f>
        <v>For the Year Ended 30 June 2024</v>
      </c>
      <c r="G2" s="2196"/>
      <c r="H2" s="2196"/>
      <c r="I2" s="2196"/>
      <c r="J2" s="2196"/>
      <c r="K2" s="2196"/>
      <c r="L2" s="2196"/>
      <c r="M2" s="2196"/>
      <c r="N2" s="118"/>
    </row>
    <row r="3" spans="1:15" ht="13.5" customHeight="1" x14ac:dyDescent="0.25">
      <c r="A3" s="111"/>
      <c r="B3" s="111"/>
      <c r="C3" s="111"/>
      <c r="D3" s="111"/>
      <c r="E3" s="111"/>
      <c r="F3" s="130"/>
      <c r="G3" s="130"/>
      <c r="H3" s="130"/>
      <c r="I3" s="130"/>
      <c r="J3" s="130"/>
      <c r="K3" s="130"/>
      <c r="L3" s="130"/>
      <c r="M3" s="130"/>
      <c r="N3" s="118"/>
    </row>
    <row r="4" spans="1:15" ht="15.75" customHeight="1" x14ac:dyDescent="0.3">
      <c r="A4" s="254"/>
      <c r="B4" s="145"/>
      <c r="C4" s="960" t="s">
        <v>286</v>
      </c>
      <c r="D4" s="1848">
        <f>'Note 6'!F5</f>
        <v>6.1</v>
      </c>
      <c r="E4" s="856" t="s">
        <v>1401</v>
      </c>
      <c r="F4" s="807"/>
      <c r="G4" s="807"/>
      <c r="H4" s="807"/>
      <c r="I4" s="807"/>
      <c r="J4" s="807"/>
      <c r="K4" s="807"/>
      <c r="L4" s="807"/>
      <c r="M4" s="807"/>
      <c r="N4" s="599"/>
    </row>
    <row r="5" spans="1:15" ht="9.75" customHeight="1" x14ac:dyDescent="0.3">
      <c r="A5" s="254"/>
      <c r="B5" s="145"/>
      <c r="C5" s="960"/>
      <c r="D5" s="856"/>
      <c r="E5" s="1849"/>
      <c r="F5" s="807"/>
      <c r="G5" s="807"/>
      <c r="H5" s="807"/>
      <c r="I5" s="807"/>
      <c r="J5" s="807"/>
      <c r="K5" s="1850"/>
      <c r="L5" s="807"/>
      <c r="M5" s="807"/>
    </row>
    <row r="6" spans="1:15" ht="15.75" customHeight="1" x14ac:dyDescent="0.3">
      <c r="A6" s="254"/>
      <c r="B6" s="145"/>
      <c r="C6" s="960"/>
      <c r="D6" s="856"/>
      <c r="E6" s="1848" t="s">
        <v>1403</v>
      </c>
      <c r="F6" s="807"/>
      <c r="G6" s="807"/>
      <c r="H6" s="807"/>
      <c r="I6" s="807"/>
      <c r="J6" s="807"/>
      <c r="K6" s="1850"/>
      <c r="L6" s="807"/>
      <c r="M6" s="807"/>
      <c r="N6" s="599"/>
    </row>
    <row r="7" spans="1:15" s="44" customFormat="1" ht="72.75" customHeight="1" x14ac:dyDescent="0.3">
      <c r="A7" s="524">
        <v>116</v>
      </c>
      <c r="B7" s="524" t="s">
        <v>227</v>
      </c>
      <c r="C7" s="1140"/>
      <c r="D7" s="1851"/>
      <c r="E7" s="1852">
        <f>'Merge Details_Printing instr'!A19</f>
        <v>2024</v>
      </c>
      <c r="F7" s="1853" t="s">
        <v>449</v>
      </c>
      <c r="G7" s="1853" t="s">
        <v>78</v>
      </c>
      <c r="H7" s="1853" t="s">
        <v>450</v>
      </c>
      <c r="I7" s="1853" t="s">
        <v>451</v>
      </c>
      <c r="J7" s="1853" t="s">
        <v>576</v>
      </c>
      <c r="K7" s="1912" t="s">
        <v>1940</v>
      </c>
      <c r="L7" s="1854" t="s">
        <v>334</v>
      </c>
      <c r="M7" s="1853" t="s">
        <v>347</v>
      </c>
    </row>
    <row r="8" spans="1:15" ht="18" customHeight="1" x14ac:dyDescent="0.3">
      <c r="A8" s="254"/>
      <c r="B8" s="254"/>
      <c r="C8" s="1079"/>
      <c r="D8" s="1855"/>
      <c r="E8" s="1856"/>
      <c r="F8" s="1857"/>
      <c r="G8" s="1858"/>
      <c r="H8" s="1859" t="str">
        <f>"(note "&amp;'Note 9'!D5&amp;")"</f>
        <v>(note 9.1)</v>
      </c>
      <c r="I8" s="1859" t="str">
        <f>"(note "&amp;'Notes 2 to 5'!E271&amp;")"</f>
        <v>(note 3.4)</v>
      </c>
      <c r="J8" s="1858"/>
      <c r="K8" s="1860" t="s">
        <v>204</v>
      </c>
      <c r="L8" s="807"/>
      <c r="M8" s="1857"/>
    </row>
    <row r="9" spans="1:15" s="44" customFormat="1" ht="18" customHeight="1" x14ac:dyDescent="0.3">
      <c r="A9" s="145"/>
      <c r="B9" s="145"/>
      <c r="C9" s="1140"/>
      <c r="D9" s="1851"/>
      <c r="E9" s="1861"/>
      <c r="F9" s="1862" t="s">
        <v>60</v>
      </c>
      <c r="G9" s="1862" t="s">
        <v>60</v>
      </c>
      <c r="H9" s="1862" t="s">
        <v>60</v>
      </c>
      <c r="I9" s="1862" t="s">
        <v>60</v>
      </c>
      <c r="J9" s="1862" t="s">
        <v>60</v>
      </c>
      <c r="K9" s="1862" t="s">
        <v>60</v>
      </c>
      <c r="L9" s="1862" t="s">
        <v>60</v>
      </c>
      <c r="M9" s="1862" t="s">
        <v>60</v>
      </c>
    </row>
    <row r="10" spans="1:15" ht="15" x14ac:dyDescent="0.3">
      <c r="A10" s="254"/>
      <c r="B10" s="254"/>
      <c r="C10" s="1079"/>
      <c r="D10" s="1855"/>
      <c r="E10" s="1863" t="s">
        <v>452</v>
      </c>
      <c r="F10" s="1864"/>
      <c r="G10" s="1864"/>
      <c r="H10" s="1864"/>
      <c r="I10" s="1865"/>
      <c r="J10" s="1865"/>
      <c r="K10" s="1865"/>
      <c r="L10" s="1865"/>
      <c r="M10" s="1865"/>
      <c r="O10" s="246"/>
    </row>
    <row r="11" spans="1:15" ht="15" x14ac:dyDescent="0.3">
      <c r="A11" s="254"/>
      <c r="B11" s="254"/>
      <c r="C11" s="1079"/>
      <c r="D11" s="1855"/>
      <c r="E11" s="1866" t="s">
        <v>92</v>
      </c>
      <c r="F11" s="1867">
        <v>165810</v>
      </c>
      <c r="G11" s="1867">
        <v>0</v>
      </c>
      <c r="H11" s="1867">
        <v>3549</v>
      </c>
      <c r="I11" s="805">
        <v>0</v>
      </c>
      <c r="J11" s="805">
        <v>0</v>
      </c>
      <c r="K11" s="805">
        <v>0</v>
      </c>
      <c r="L11" s="805">
        <v>0</v>
      </c>
      <c r="M11" s="805">
        <f>SUM(F11:L11)</f>
        <v>169359</v>
      </c>
      <c r="O11" s="599"/>
    </row>
    <row r="12" spans="1:15" ht="15" x14ac:dyDescent="0.3">
      <c r="A12" s="254"/>
      <c r="B12" s="254"/>
      <c r="C12" s="1079"/>
      <c r="D12" s="1855"/>
      <c r="E12" s="1866" t="s">
        <v>179</v>
      </c>
      <c r="F12" s="1867">
        <v>0</v>
      </c>
      <c r="G12" s="1867">
        <v>0</v>
      </c>
      <c r="H12" s="1867">
        <v>0</v>
      </c>
      <c r="I12" s="805">
        <v>0</v>
      </c>
      <c r="J12" s="805">
        <v>0</v>
      </c>
      <c r="K12" s="805">
        <v>0</v>
      </c>
      <c r="L12" s="805">
        <v>0</v>
      </c>
      <c r="M12" s="805">
        <f>SUM(F12:L12)</f>
        <v>0</v>
      </c>
      <c r="O12" s="599"/>
    </row>
    <row r="13" spans="1:15" ht="15" x14ac:dyDescent="0.3">
      <c r="A13" s="254"/>
      <c r="B13" s="254"/>
      <c r="C13" s="1079"/>
      <c r="D13" s="1855"/>
      <c r="E13" s="1866" t="s">
        <v>199</v>
      </c>
      <c r="F13" s="1867">
        <f>17567-10000</f>
        <v>7567</v>
      </c>
      <c r="G13" s="1867">
        <f>3852+2000</f>
        <v>5852</v>
      </c>
      <c r="H13" s="1867">
        <v>0</v>
      </c>
      <c r="I13" s="805">
        <v>-296</v>
      </c>
      <c r="J13" s="805">
        <v>0</v>
      </c>
      <c r="K13" s="805">
        <v>0</v>
      </c>
      <c r="L13" s="805">
        <v>0</v>
      </c>
      <c r="M13" s="805">
        <f>SUM(F13:L13)</f>
        <v>13123</v>
      </c>
      <c r="O13" s="246"/>
    </row>
    <row r="14" spans="1:15" ht="15" x14ac:dyDescent="0.3">
      <c r="A14" s="254"/>
      <c r="B14" s="254"/>
      <c r="C14" s="1079"/>
      <c r="D14" s="1855"/>
      <c r="E14" s="1868" t="s">
        <v>122</v>
      </c>
      <c r="F14" s="1869">
        <f>SUM(F11:F13)</f>
        <v>173377</v>
      </c>
      <c r="G14" s="1869">
        <f t="shared" ref="G14" si="0">SUM(G11:G13)</f>
        <v>5852</v>
      </c>
      <c r="H14" s="1869">
        <f t="shared" ref="H14:M14" si="1">SUM(H11:H13)</f>
        <v>3549</v>
      </c>
      <c r="I14" s="865">
        <f t="shared" si="1"/>
        <v>-296</v>
      </c>
      <c r="J14" s="865">
        <f t="shared" si="1"/>
        <v>0</v>
      </c>
      <c r="K14" s="865">
        <f t="shared" si="1"/>
        <v>0</v>
      </c>
      <c r="L14" s="865">
        <f t="shared" si="1"/>
        <v>0</v>
      </c>
      <c r="M14" s="865">
        <f t="shared" si="1"/>
        <v>182482</v>
      </c>
      <c r="O14" s="246"/>
    </row>
    <row r="15" spans="1:15" ht="9" customHeight="1" x14ac:dyDescent="0.3">
      <c r="A15" s="254"/>
      <c r="B15" s="254"/>
      <c r="C15" s="1079"/>
      <c r="D15" s="1855"/>
      <c r="E15" s="1857"/>
      <c r="F15" s="1867"/>
      <c r="G15" s="1867"/>
      <c r="H15" s="1867"/>
      <c r="I15" s="805"/>
      <c r="J15" s="805"/>
      <c r="K15" s="805"/>
      <c r="L15" s="805"/>
      <c r="M15" s="805"/>
      <c r="O15" s="246"/>
    </row>
    <row r="16" spans="1:15" ht="15" x14ac:dyDescent="0.3">
      <c r="A16" s="254"/>
      <c r="B16" s="254"/>
      <c r="C16" s="1079"/>
      <c r="D16" s="1855"/>
      <c r="E16" s="1866" t="s">
        <v>93</v>
      </c>
      <c r="F16" s="1867">
        <v>73920</v>
      </c>
      <c r="G16" s="1867">
        <v>3251</v>
      </c>
      <c r="H16" s="1867">
        <v>2006</v>
      </c>
      <c r="I16" s="805">
        <v>-1673</v>
      </c>
      <c r="J16" s="805">
        <v>0</v>
      </c>
      <c r="K16" s="805">
        <v>0</v>
      </c>
      <c r="L16" s="805">
        <v>4550</v>
      </c>
      <c r="M16" s="805">
        <f>SUM(F16:L16)</f>
        <v>82054</v>
      </c>
    </row>
    <row r="17" spans="1:14" ht="15" x14ac:dyDescent="0.3">
      <c r="A17" s="254"/>
      <c r="B17" s="254"/>
      <c r="C17" s="1079"/>
      <c r="D17" s="1855"/>
      <c r="E17" s="1866" t="s">
        <v>533</v>
      </c>
      <c r="F17" s="1867">
        <v>4959</v>
      </c>
      <c r="G17" s="1867">
        <v>355</v>
      </c>
      <c r="H17" s="1867">
        <v>0</v>
      </c>
      <c r="I17" s="805">
        <v>-195</v>
      </c>
      <c r="J17" s="805">
        <v>0</v>
      </c>
      <c r="K17" s="805">
        <v>0</v>
      </c>
      <c r="L17" s="805">
        <v>0</v>
      </c>
      <c r="M17" s="805">
        <f>SUM(F17:L17)</f>
        <v>5119</v>
      </c>
    </row>
    <row r="18" spans="1:14" ht="15" x14ac:dyDescent="0.3">
      <c r="A18" s="254"/>
      <c r="B18" s="254"/>
      <c r="C18" s="1079"/>
      <c r="D18" s="1855"/>
      <c r="E18" s="1870" t="s">
        <v>255</v>
      </c>
      <c r="F18" s="1867">
        <v>0</v>
      </c>
      <c r="G18" s="1867">
        <v>0</v>
      </c>
      <c r="H18" s="1867">
        <v>0</v>
      </c>
      <c r="I18" s="805">
        <v>0</v>
      </c>
      <c r="J18" s="805">
        <v>0</v>
      </c>
      <c r="K18" s="805">
        <v>0</v>
      </c>
      <c r="L18" s="805">
        <v>0</v>
      </c>
      <c r="M18" s="805">
        <f>SUM(F18:L18)</f>
        <v>0</v>
      </c>
    </row>
    <row r="19" spans="1:14" ht="15" x14ac:dyDescent="0.3">
      <c r="A19" s="254"/>
      <c r="B19" s="254"/>
      <c r="C19" s="1079"/>
      <c r="D19" s="1855"/>
      <c r="E19" s="1870" t="s">
        <v>453</v>
      </c>
      <c r="F19" s="1867">
        <v>525</v>
      </c>
      <c r="G19" s="1867">
        <v>54</v>
      </c>
      <c r="H19" s="1867">
        <v>0</v>
      </c>
      <c r="I19" s="805">
        <f>-76-65</f>
        <v>-141</v>
      </c>
      <c r="J19" s="805">
        <v>0</v>
      </c>
      <c r="K19" s="805">
        <v>0</v>
      </c>
      <c r="L19" s="805">
        <v>0</v>
      </c>
      <c r="M19" s="805">
        <f>SUM(F19:L19)</f>
        <v>438</v>
      </c>
    </row>
    <row r="20" spans="1:14" ht="15" x14ac:dyDescent="0.3">
      <c r="A20" s="254"/>
      <c r="B20" s="254"/>
      <c r="C20" s="1079"/>
      <c r="D20" s="1855"/>
      <c r="E20" s="1868" t="s">
        <v>121</v>
      </c>
      <c r="F20" s="865">
        <f>SUM(F16:F19)</f>
        <v>79404</v>
      </c>
      <c r="G20" s="1869">
        <f t="shared" ref="G20:M20" si="2">SUM(G16:G19)</f>
        <v>3660</v>
      </c>
      <c r="H20" s="1869">
        <f t="shared" si="2"/>
        <v>2006</v>
      </c>
      <c r="I20" s="865">
        <f t="shared" si="2"/>
        <v>-2009</v>
      </c>
      <c r="J20" s="865">
        <f t="shared" si="2"/>
        <v>0</v>
      </c>
      <c r="K20" s="865">
        <f t="shared" si="2"/>
        <v>0</v>
      </c>
      <c r="L20" s="865">
        <f t="shared" si="2"/>
        <v>4550</v>
      </c>
      <c r="M20" s="865">
        <f t="shared" si="2"/>
        <v>87611</v>
      </c>
    </row>
    <row r="21" spans="1:14" ht="15" x14ac:dyDescent="0.3">
      <c r="A21" s="254"/>
      <c r="B21" s="254"/>
      <c r="C21" s="1079"/>
      <c r="D21" s="1855"/>
      <c r="E21" s="1868" t="s">
        <v>123</v>
      </c>
      <c r="F21" s="1869">
        <f t="shared" ref="F21:L21" si="3">+F14+F20</f>
        <v>252781</v>
      </c>
      <c r="G21" s="1869">
        <f t="shared" si="3"/>
        <v>9512</v>
      </c>
      <c r="H21" s="1869">
        <f t="shared" si="3"/>
        <v>5555</v>
      </c>
      <c r="I21" s="865">
        <f t="shared" si="3"/>
        <v>-2305</v>
      </c>
      <c r="J21" s="865">
        <f t="shared" si="3"/>
        <v>0</v>
      </c>
      <c r="K21" s="865">
        <f t="shared" si="3"/>
        <v>0</v>
      </c>
      <c r="L21" s="865">
        <f t="shared" si="3"/>
        <v>4550</v>
      </c>
      <c r="M21" s="865">
        <f>+M14+M20</f>
        <v>270093</v>
      </c>
    </row>
    <row r="22" spans="1:14" ht="8.25" customHeight="1" x14ac:dyDescent="0.3">
      <c r="A22" s="254"/>
      <c r="B22" s="254"/>
      <c r="C22" s="1079"/>
      <c r="D22" s="1855"/>
      <c r="E22" s="1870"/>
      <c r="F22" s="1867"/>
      <c r="G22" s="1867"/>
      <c r="H22" s="1867"/>
      <c r="I22" s="805"/>
      <c r="J22" s="805"/>
      <c r="K22" s="805"/>
      <c r="L22" s="805"/>
      <c r="M22" s="805"/>
    </row>
    <row r="23" spans="1:14" ht="15" x14ac:dyDescent="0.3">
      <c r="A23" s="254"/>
      <c r="B23" s="254"/>
      <c r="C23" s="1079"/>
      <c r="D23" s="1855"/>
      <c r="E23" s="1871" t="s">
        <v>120</v>
      </c>
      <c r="F23" s="1867"/>
      <c r="G23" s="1867"/>
      <c r="H23" s="1867"/>
      <c r="I23" s="805"/>
      <c r="J23" s="805"/>
      <c r="K23" s="805"/>
      <c r="L23" s="805"/>
      <c r="M23" s="805"/>
    </row>
    <row r="24" spans="1:14" ht="27.6" x14ac:dyDescent="0.3">
      <c r="A24" s="254"/>
      <c r="B24" s="254"/>
      <c r="C24" s="1079"/>
      <c r="D24" s="1855"/>
      <c r="E24" s="1870" t="s">
        <v>534</v>
      </c>
      <c r="F24" s="1867">
        <v>10675</v>
      </c>
      <c r="G24" s="1867">
        <v>1558</v>
      </c>
      <c r="H24" s="1867">
        <v>0</v>
      </c>
      <c r="I24" s="805">
        <v>-2194</v>
      </c>
      <c r="J24" s="805">
        <v>-1395</v>
      </c>
      <c r="K24" s="805">
        <v>0</v>
      </c>
      <c r="L24" s="805">
        <v>0</v>
      </c>
      <c r="M24" s="805">
        <f>SUM(F24:L24)</f>
        <v>8644</v>
      </c>
    </row>
    <row r="25" spans="1:14" ht="27.6" x14ac:dyDescent="0.3">
      <c r="A25" s="254"/>
      <c r="B25" s="254"/>
      <c r="C25" s="1079"/>
      <c r="D25" s="1855"/>
      <c r="E25" s="1872" t="s">
        <v>536</v>
      </c>
      <c r="F25" s="805">
        <v>5143</v>
      </c>
      <c r="G25" s="805">
        <v>1228</v>
      </c>
      <c r="H25" s="805">
        <v>0</v>
      </c>
      <c r="I25" s="805">
        <v>-1712</v>
      </c>
      <c r="J25" s="805">
        <v>-1687</v>
      </c>
      <c r="K25" s="805">
        <v>0</v>
      </c>
      <c r="L25" s="805">
        <v>0</v>
      </c>
      <c r="M25" s="805">
        <f>SUM(F25:L25)</f>
        <v>2972</v>
      </c>
    </row>
    <row r="26" spans="1:14" ht="27.6" x14ac:dyDescent="0.3">
      <c r="A26" s="254"/>
      <c r="B26" s="254"/>
      <c r="C26" s="1079"/>
      <c r="D26" s="1855"/>
      <c r="E26" s="1872" t="s">
        <v>535</v>
      </c>
      <c r="F26" s="805">
        <v>1104</v>
      </c>
      <c r="G26" s="805">
        <v>370</v>
      </c>
      <c r="H26" s="805">
        <v>0</v>
      </c>
      <c r="I26" s="805">
        <v>-305</v>
      </c>
      <c r="J26" s="805">
        <v>0</v>
      </c>
      <c r="K26" s="805">
        <v>0</v>
      </c>
      <c r="L26" s="805">
        <v>0</v>
      </c>
      <c r="M26" s="805">
        <f>SUM(F26:L26)</f>
        <v>1169</v>
      </c>
    </row>
    <row r="27" spans="1:14" ht="27.6" x14ac:dyDescent="0.3">
      <c r="A27" s="254"/>
      <c r="B27" s="254"/>
      <c r="C27" s="1079"/>
      <c r="D27" s="1855"/>
      <c r="E27" s="1872" t="s">
        <v>375</v>
      </c>
      <c r="F27" s="805">
        <v>0</v>
      </c>
      <c r="G27" s="805">
        <v>0</v>
      </c>
      <c r="H27" s="805">
        <v>0</v>
      </c>
      <c r="I27" s="805">
        <v>0</v>
      </c>
      <c r="J27" s="805">
        <v>0</v>
      </c>
      <c r="K27" s="805">
        <v>0</v>
      </c>
      <c r="L27" s="805">
        <v>0</v>
      </c>
      <c r="M27" s="805">
        <f>SUM(F27:L27)</f>
        <v>0</v>
      </c>
    </row>
    <row r="28" spans="1:14" ht="27.6" x14ac:dyDescent="0.3">
      <c r="A28" s="254"/>
      <c r="B28" s="254"/>
      <c r="C28" s="1079"/>
      <c r="D28" s="1855"/>
      <c r="E28" s="712" t="s">
        <v>374</v>
      </c>
      <c r="F28" s="805">
        <v>16</v>
      </c>
      <c r="G28" s="805">
        <v>53</v>
      </c>
      <c r="H28" s="805">
        <v>0</v>
      </c>
      <c r="I28" s="805">
        <f>-76+65</f>
        <v>-11</v>
      </c>
      <c r="J28" s="805">
        <v>0</v>
      </c>
      <c r="K28" s="805">
        <v>0</v>
      </c>
      <c r="L28" s="805">
        <v>0</v>
      </c>
      <c r="M28" s="805">
        <f>SUM(F28:L28)</f>
        <v>58</v>
      </c>
    </row>
    <row r="29" spans="1:14" ht="16.5" customHeight="1" x14ac:dyDescent="0.3">
      <c r="A29" s="254"/>
      <c r="B29" s="254"/>
      <c r="C29" s="1079"/>
      <c r="D29" s="1855"/>
      <c r="E29" s="1868" t="s">
        <v>575</v>
      </c>
      <c r="F29" s="1869">
        <f t="shared" ref="F29:L29" si="4">SUM(F24:F28)</f>
        <v>16938</v>
      </c>
      <c r="G29" s="1869">
        <f t="shared" si="4"/>
        <v>3209</v>
      </c>
      <c r="H29" s="1869">
        <f t="shared" si="4"/>
        <v>0</v>
      </c>
      <c r="I29" s="865">
        <f t="shared" si="4"/>
        <v>-4222</v>
      </c>
      <c r="J29" s="865">
        <f t="shared" si="4"/>
        <v>-3082</v>
      </c>
      <c r="K29" s="865">
        <f t="shared" si="4"/>
        <v>0</v>
      </c>
      <c r="L29" s="865">
        <f t="shared" si="4"/>
        <v>0</v>
      </c>
      <c r="M29" s="865">
        <f>SUM(M24:M28)</f>
        <v>12843</v>
      </c>
    </row>
    <row r="30" spans="1:14" s="44" customFormat="1" ht="8.25" customHeight="1" x14ac:dyDescent="0.3">
      <c r="A30" s="254"/>
      <c r="B30" s="145"/>
      <c r="C30" s="1079"/>
      <c r="D30" s="1855"/>
      <c r="E30" s="1870"/>
      <c r="F30" s="1873"/>
      <c r="G30" s="1873"/>
      <c r="H30" s="1873"/>
      <c r="I30" s="810"/>
      <c r="J30" s="810"/>
      <c r="K30" s="810"/>
      <c r="L30" s="810"/>
      <c r="M30" s="810"/>
    </row>
    <row r="31" spans="1:14" ht="15" x14ac:dyDescent="0.3">
      <c r="A31" s="254"/>
      <c r="B31" s="254"/>
      <c r="C31" s="1079"/>
      <c r="D31" s="1855"/>
      <c r="E31" s="1871" t="s">
        <v>94</v>
      </c>
      <c r="F31" s="1867"/>
      <c r="G31" s="1867"/>
      <c r="H31" s="1867"/>
      <c r="I31" s="805"/>
      <c r="J31" s="805"/>
      <c r="K31" s="805"/>
      <c r="L31" s="805"/>
      <c r="M31" s="805"/>
    </row>
    <row r="32" spans="1:14" ht="15" x14ac:dyDescent="0.3">
      <c r="A32" s="254"/>
      <c r="B32" s="254"/>
      <c r="C32" s="1079"/>
      <c r="D32" s="1855"/>
      <c r="E32" s="1870" t="s">
        <v>262</v>
      </c>
      <c r="F32" s="1867">
        <v>167114</v>
      </c>
      <c r="G32" s="1867">
        <v>3419</v>
      </c>
      <c r="H32" s="1867">
        <v>0</v>
      </c>
      <c r="I32" s="805">
        <v>-6900</v>
      </c>
      <c r="J32" s="805">
        <v>0</v>
      </c>
      <c r="K32" s="805">
        <v>0</v>
      </c>
      <c r="L32" s="805">
        <v>2274</v>
      </c>
      <c r="M32" s="805">
        <f t="shared" ref="M32:M40" si="5">SUM(F32:L32)</f>
        <v>165907</v>
      </c>
      <c r="N32" s="128"/>
    </row>
    <row r="33" spans="1:13" ht="15" x14ac:dyDescent="0.3">
      <c r="A33" s="254"/>
      <c r="B33" s="254"/>
      <c r="C33" s="1079"/>
      <c r="D33" s="1855"/>
      <c r="E33" s="1870" t="s">
        <v>614</v>
      </c>
      <c r="F33" s="1867">
        <v>4959</v>
      </c>
      <c r="G33" s="1867">
        <v>352</v>
      </c>
      <c r="H33" s="1867">
        <v>0</v>
      </c>
      <c r="I33" s="805">
        <v>-250</v>
      </c>
      <c r="J33" s="805">
        <v>0</v>
      </c>
      <c r="K33" s="805">
        <v>0</v>
      </c>
      <c r="L33" s="805">
        <v>758</v>
      </c>
      <c r="M33" s="805">
        <f t="shared" si="5"/>
        <v>5819</v>
      </c>
    </row>
    <row r="34" spans="1:13" ht="15" x14ac:dyDescent="0.3">
      <c r="A34" s="254"/>
      <c r="B34" s="254"/>
      <c r="C34" s="1079"/>
      <c r="D34" s="1855"/>
      <c r="E34" s="1870" t="s">
        <v>591</v>
      </c>
      <c r="F34" s="1867">
        <v>8795</v>
      </c>
      <c r="G34" s="1867">
        <v>198</v>
      </c>
      <c r="H34" s="1867">
        <v>0</v>
      </c>
      <c r="I34" s="805">
        <v>-850</v>
      </c>
      <c r="J34" s="805">
        <v>0</v>
      </c>
      <c r="K34" s="805">
        <v>0</v>
      </c>
      <c r="L34" s="805">
        <v>0</v>
      </c>
      <c r="M34" s="805">
        <f t="shared" si="5"/>
        <v>8143</v>
      </c>
    </row>
    <row r="35" spans="1:13" ht="15" x14ac:dyDescent="0.3">
      <c r="A35" s="254"/>
      <c r="B35" s="254"/>
      <c r="C35" s="1079"/>
      <c r="D35" s="1855"/>
      <c r="E35" s="1870" t="s">
        <v>348</v>
      </c>
      <c r="F35" s="1867">
        <v>39871</v>
      </c>
      <c r="G35" s="1867">
        <v>643</v>
      </c>
      <c r="H35" s="1867">
        <v>1082</v>
      </c>
      <c r="I35" s="805">
        <v>-660</v>
      </c>
      <c r="J35" s="805">
        <v>0</v>
      </c>
      <c r="K35" s="805">
        <v>0</v>
      </c>
      <c r="L35" s="805">
        <v>0</v>
      </c>
      <c r="M35" s="805">
        <f t="shared" si="5"/>
        <v>40936</v>
      </c>
    </row>
    <row r="36" spans="1:13" ht="27.6" x14ac:dyDescent="0.3">
      <c r="A36" s="254"/>
      <c r="B36" s="254"/>
      <c r="C36" s="1079"/>
      <c r="D36" s="1855"/>
      <c r="E36" s="1870" t="s">
        <v>592</v>
      </c>
      <c r="F36" s="1867">
        <v>0</v>
      </c>
      <c r="G36" s="1867">
        <v>0</v>
      </c>
      <c r="H36" s="1867">
        <v>0</v>
      </c>
      <c r="I36" s="805">
        <v>0</v>
      </c>
      <c r="J36" s="805">
        <v>0</v>
      </c>
      <c r="K36" s="805">
        <v>0</v>
      </c>
      <c r="L36" s="805">
        <v>0</v>
      </c>
      <c r="M36" s="805">
        <f t="shared" si="5"/>
        <v>0</v>
      </c>
    </row>
    <row r="37" spans="1:13" ht="27.6" x14ac:dyDescent="0.3">
      <c r="A37" s="254"/>
      <c r="B37" s="254"/>
      <c r="C37" s="1079"/>
      <c r="D37" s="1855"/>
      <c r="E37" s="1870" t="s">
        <v>577</v>
      </c>
      <c r="F37" s="1867">
        <v>0</v>
      </c>
      <c r="G37" s="1867">
        <v>0</v>
      </c>
      <c r="H37" s="1867">
        <v>0</v>
      </c>
      <c r="I37" s="805">
        <v>0</v>
      </c>
      <c r="J37" s="805">
        <v>0</v>
      </c>
      <c r="K37" s="805">
        <v>0</v>
      </c>
      <c r="L37" s="805">
        <v>0</v>
      </c>
      <c r="M37" s="805">
        <f t="shared" si="5"/>
        <v>0</v>
      </c>
    </row>
    <row r="38" spans="1:13" ht="15" x14ac:dyDescent="0.3">
      <c r="A38" s="254"/>
      <c r="B38" s="254"/>
      <c r="C38" s="1079"/>
      <c r="D38" s="1855"/>
      <c r="E38" s="1870" t="s">
        <v>1413</v>
      </c>
      <c r="F38" s="1867">
        <v>0</v>
      </c>
      <c r="G38" s="1867">
        <v>0</v>
      </c>
      <c r="H38" s="1867">
        <v>0</v>
      </c>
      <c r="I38" s="805">
        <v>0</v>
      </c>
      <c r="J38" s="805">
        <v>0</v>
      </c>
      <c r="K38" s="805">
        <v>0</v>
      </c>
      <c r="L38" s="805">
        <v>0</v>
      </c>
      <c r="M38" s="805">
        <f t="shared" si="5"/>
        <v>0</v>
      </c>
    </row>
    <row r="39" spans="1:13" ht="15" x14ac:dyDescent="0.3">
      <c r="A39" s="254"/>
      <c r="B39" s="254"/>
      <c r="C39" s="1079"/>
      <c r="D39" s="1855"/>
      <c r="E39" s="1870" t="s">
        <v>376</v>
      </c>
      <c r="F39" s="1867">
        <v>0</v>
      </c>
      <c r="G39" s="1867">
        <v>0</v>
      </c>
      <c r="H39" s="1867">
        <v>0</v>
      </c>
      <c r="I39" s="805">
        <v>0</v>
      </c>
      <c r="J39" s="805">
        <v>0</v>
      </c>
      <c r="K39" s="805">
        <v>0</v>
      </c>
      <c r="L39" s="805">
        <v>0</v>
      </c>
      <c r="M39" s="805">
        <f t="shared" si="5"/>
        <v>0</v>
      </c>
    </row>
    <row r="40" spans="1:13" ht="15" x14ac:dyDescent="0.3">
      <c r="A40" s="254"/>
      <c r="B40" s="254"/>
      <c r="C40" s="1079"/>
      <c r="D40" s="1855"/>
      <c r="E40" s="1872" t="s">
        <v>1930</v>
      </c>
      <c r="F40" s="1867">
        <v>0</v>
      </c>
      <c r="G40" s="1867">
        <v>0</v>
      </c>
      <c r="H40" s="1867">
        <v>0</v>
      </c>
      <c r="I40" s="805">
        <v>0</v>
      </c>
      <c r="J40" s="805">
        <v>0</v>
      </c>
      <c r="K40" s="805">
        <v>0</v>
      </c>
      <c r="L40" s="805">
        <v>0</v>
      </c>
      <c r="M40" s="805">
        <f t="shared" si="5"/>
        <v>0</v>
      </c>
    </row>
    <row r="41" spans="1:13" ht="15" x14ac:dyDescent="0.3">
      <c r="A41" s="254"/>
      <c r="B41" s="254"/>
      <c r="C41" s="1079"/>
      <c r="D41" s="1855"/>
      <c r="E41" s="1868" t="s">
        <v>546</v>
      </c>
      <c r="F41" s="1869">
        <f>SUM(F32:F40)</f>
        <v>220739</v>
      </c>
      <c r="G41" s="1869">
        <f t="shared" ref="G41" si="6">SUM(G32:G40)</f>
        <v>4612</v>
      </c>
      <c r="H41" s="1869">
        <f t="shared" ref="H41:M41" si="7">SUM(H32:H40)</f>
        <v>1082</v>
      </c>
      <c r="I41" s="865">
        <f t="shared" si="7"/>
        <v>-8660</v>
      </c>
      <c r="J41" s="865">
        <f t="shared" si="7"/>
        <v>0</v>
      </c>
      <c r="K41" s="865">
        <f t="shared" si="7"/>
        <v>0</v>
      </c>
      <c r="L41" s="865">
        <f t="shared" si="7"/>
        <v>3032</v>
      </c>
      <c r="M41" s="865">
        <f t="shared" si="7"/>
        <v>220805</v>
      </c>
    </row>
    <row r="42" spans="1:13" ht="15" x14ac:dyDescent="0.3">
      <c r="A42" s="254"/>
      <c r="B42" s="254"/>
      <c r="C42" s="1079"/>
      <c r="D42" s="1855"/>
      <c r="E42" s="1866"/>
      <c r="F42" s="1874"/>
      <c r="G42" s="1874"/>
      <c r="H42" s="1874"/>
      <c r="I42" s="1875"/>
      <c r="J42" s="1875"/>
      <c r="K42" s="1875"/>
      <c r="L42" s="1875"/>
      <c r="M42" s="1875"/>
    </row>
    <row r="43" spans="1:13" ht="5.25" customHeight="1" x14ac:dyDescent="0.3">
      <c r="A43" s="254"/>
      <c r="B43" s="254"/>
      <c r="C43" s="1079"/>
      <c r="D43" s="1855"/>
      <c r="E43" s="1866"/>
      <c r="F43" s="1876"/>
      <c r="G43" s="1876"/>
      <c r="H43" s="1876"/>
      <c r="I43" s="1876"/>
      <c r="J43" s="1876"/>
      <c r="K43" s="1876"/>
      <c r="L43" s="1876"/>
      <c r="M43" s="1876"/>
    </row>
    <row r="44" spans="1:13" ht="15" x14ac:dyDescent="0.3">
      <c r="A44" s="254"/>
      <c r="B44" s="254"/>
      <c r="C44" s="1079"/>
      <c r="D44" s="1855"/>
      <c r="E44" s="1871" t="s">
        <v>143</v>
      </c>
      <c r="F44" s="1877"/>
      <c r="G44" s="1877"/>
      <c r="H44" s="1877"/>
      <c r="I44" s="1877"/>
      <c r="J44" s="1877"/>
      <c r="K44" s="1877"/>
      <c r="L44" s="1877"/>
      <c r="M44" s="1877"/>
    </row>
    <row r="45" spans="1:13" ht="15" x14ac:dyDescent="0.3">
      <c r="A45" s="254"/>
      <c r="B45" s="254"/>
      <c r="C45" s="1079"/>
      <c r="D45" s="1855"/>
      <c r="E45" s="1866" t="s">
        <v>93</v>
      </c>
      <c r="F45" s="1867">
        <v>5385</v>
      </c>
      <c r="G45" s="1867">
        <v>3329</v>
      </c>
      <c r="H45" s="1867">
        <v>0</v>
      </c>
      <c r="I45" s="1867">
        <v>0</v>
      </c>
      <c r="J45" s="1867">
        <v>0</v>
      </c>
      <c r="K45" s="1867">
        <v>0</v>
      </c>
      <c r="L45" s="805">
        <v>-4550</v>
      </c>
      <c r="M45" s="1867">
        <f>SUM(F45:H45)-I45-J45+L45-K45</f>
        <v>4164</v>
      </c>
    </row>
    <row r="46" spans="1:13" ht="15" x14ac:dyDescent="0.3">
      <c r="A46" s="254"/>
      <c r="B46" s="254"/>
      <c r="C46" s="1079"/>
      <c r="D46" s="1855"/>
      <c r="E46" s="1870" t="s">
        <v>262</v>
      </c>
      <c r="F46" s="1867">
        <v>2692</v>
      </c>
      <c r="G46" s="1867">
        <v>1664</v>
      </c>
      <c r="H46" s="1867">
        <v>0</v>
      </c>
      <c r="I46" s="1867">
        <v>0</v>
      </c>
      <c r="J46" s="1867">
        <v>0</v>
      </c>
      <c r="K46" s="1867">
        <v>0</v>
      </c>
      <c r="L46" s="805">
        <f>-2275+1</f>
        <v>-2274</v>
      </c>
      <c r="M46" s="1867">
        <f>SUM(F46:H46)-I46-J46+L46-K46</f>
        <v>2082</v>
      </c>
    </row>
    <row r="47" spans="1:13" ht="15" x14ac:dyDescent="0.3">
      <c r="A47" s="254"/>
      <c r="B47" s="254"/>
      <c r="C47" s="1079"/>
      <c r="D47" s="1855"/>
      <c r="E47" s="1870" t="s">
        <v>614</v>
      </c>
      <c r="F47" s="1867">
        <v>897</v>
      </c>
      <c r="G47" s="1867">
        <v>555</v>
      </c>
      <c r="H47" s="1867">
        <v>0</v>
      </c>
      <c r="I47" s="1867">
        <v>0</v>
      </c>
      <c r="J47" s="1867">
        <v>0</v>
      </c>
      <c r="K47" s="1867">
        <v>0</v>
      </c>
      <c r="L47" s="805">
        <v>-758</v>
      </c>
      <c r="M47" s="1867">
        <f>SUM(F47:H47)-I47-J47+L47-K47</f>
        <v>694</v>
      </c>
    </row>
    <row r="48" spans="1:13" ht="15" x14ac:dyDescent="0.3">
      <c r="A48" s="254"/>
      <c r="B48" s="254"/>
      <c r="C48" s="1079"/>
      <c r="D48" s="1855"/>
      <c r="E48" s="1878" t="s">
        <v>344</v>
      </c>
      <c r="F48" s="1869">
        <f>F45+F46+F47</f>
        <v>8974</v>
      </c>
      <c r="G48" s="1869">
        <f t="shared" ref="G48" si="8">G45+G46+G47</f>
        <v>5548</v>
      </c>
      <c r="H48" s="1869">
        <f t="shared" ref="H48:L48" si="9">H45+H46+H47</f>
        <v>0</v>
      </c>
      <c r="I48" s="1869">
        <f t="shared" si="9"/>
        <v>0</v>
      </c>
      <c r="J48" s="1869">
        <f t="shared" si="9"/>
        <v>0</v>
      </c>
      <c r="K48" s="1869">
        <f t="shared" si="9"/>
        <v>0</v>
      </c>
      <c r="L48" s="865">
        <f t="shared" si="9"/>
        <v>-7582</v>
      </c>
      <c r="M48" s="1869">
        <f>SUM(F48:H48)-I48-J48+L48-K48</f>
        <v>6940</v>
      </c>
    </row>
    <row r="49" spans="1:20" ht="43.5" customHeight="1" x14ac:dyDescent="0.3">
      <c r="A49" s="254"/>
      <c r="B49" s="254"/>
      <c r="C49" s="1079"/>
      <c r="D49" s="1855"/>
      <c r="E49" s="1879" t="s">
        <v>1402</v>
      </c>
      <c r="F49" s="1880">
        <f t="shared" ref="F49:L49" si="10">+F21+F29+F41+F48</f>
        <v>499432</v>
      </c>
      <c r="G49" s="1880">
        <f t="shared" si="10"/>
        <v>22881</v>
      </c>
      <c r="H49" s="1880">
        <f t="shared" si="10"/>
        <v>6637</v>
      </c>
      <c r="I49" s="1880">
        <f t="shared" si="10"/>
        <v>-15187</v>
      </c>
      <c r="J49" s="1880">
        <f t="shared" si="10"/>
        <v>-3082</v>
      </c>
      <c r="K49" s="1880">
        <f t="shared" si="10"/>
        <v>0</v>
      </c>
      <c r="L49" s="1880">
        <f t="shared" si="10"/>
        <v>0</v>
      </c>
      <c r="M49" s="1880">
        <f>+M21+M29+M41+M48</f>
        <v>510681</v>
      </c>
    </row>
    <row r="50" spans="1:20" ht="15" x14ac:dyDescent="0.3">
      <c r="A50" s="254"/>
      <c r="B50" s="254"/>
      <c r="C50" s="1079"/>
      <c r="D50" s="1855"/>
      <c r="E50" s="1879"/>
      <c r="F50" s="1881"/>
      <c r="G50" s="1881"/>
      <c r="H50" s="1881"/>
      <c r="I50" s="1881"/>
      <c r="J50" s="1881"/>
      <c r="K50" s="1881"/>
      <c r="L50" s="1881"/>
      <c r="M50" s="1881"/>
    </row>
    <row r="51" spans="1:20" ht="15" customHeight="1" x14ac:dyDescent="0.3">
      <c r="A51" s="254"/>
      <c r="B51" s="254"/>
      <c r="C51" s="2012"/>
      <c r="D51" s="2013"/>
      <c r="E51" s="2202" t="s">
        <v>1941</v>
      </c>
      <c r="F51" s="2203"/>
      <c r="G51" s="2203"/>
      <c r="H51" s="2203"/>
      <c r="I51" s="2203"/>
      <c r="J51" s="2203"/>
      <c r="K51" s="2203"/>
      <c r="L51" s="2203"/>
      <c r="M51" s="1913"/>
      <c r="O51" s="2201" t="s">
        <v>2046</v>
      </c>
      <c r="P51" s="2201"/>
      <c r="Q51" s="2201"/>
      <c r="R51" s="2201"/>
      <c r="S51" s="2201"/>
      <c r="T51" s="2201"/>
    </row>
    <row r="52" spans="1:20" ht="15" x14ac:dyDescent="0.3">
      <c r="A52" s="254"/>
      <c r="B52" s="254"/>
      <c r="C52" s="2012"/>
      <c r="D52" s="2013"/>
      <c r="E52" s="1914" t="s">
        <v>1798</v>
      </c>
      <c r="F52" s="1913"/>
      <c r="G52" s="1913"/>
      <c r="H52" s="1913"/>
      <c r="I52" s="1913"/>
      <c r="J52" s="1913"/>
      <c r="K52" s="1913"/>
      <c r="L52" s="1913"/>
      <c r="M52" s="1913"/>
      <c r="N52" s="674"/>
      <c r="O52" s="2201"/>
      <c r="P52" s="2201"/>
      <c r="Q52" s="2201"/>
      <c r="R52" s="2201"/>
      <c r="S52" s="2201"/>
      <c r="T52" s="2201"/>
    </row>
    <row r="53" spans="1:20" ht="15" x14ac:dyDescent="0.3">
      <c r="A53" s="254"/>
      <c r="B53" s="254"/>
      <c r="C53" s="2012"/>
      <c r="D53" s="2013"/>
      <c r="E53" s="1914" t="s">
        <v>2012</v>
      </c>
      <c r="F53" s="1913"/>
      <c r="G53" s="1913"/>
      <c r="H53" s="1913"/>
      <c r="I53" s="1913"/>
      <c r="J53" s="1913"/>
      <c r="K53" s="1913"/>
      <c r="L53" s="1913"/>
      <c r="M53" s="1913"/>
      <c r="N53" s="674"/>
      <c r="O53" s="2201"/>
      <c r="P53" s="2201"/>
      <c r="Q53" s="2201"/>
      <c r="R53" s="2201"/>
      <c r="S53" s="2201"/>
      <c r="T53" s="2201"/>
    </row>
    <row r="54" spans="1:20" ht="33.75" customHeight="1" x14ac:dyDescent="0.3">
      <c r="A54" s="254"/>
      <c r="B54" s="254"/>
      <c r="C54" s="2012"/>
      <c r="D54" s="2013"/>
      <c r="E54" s="2200" t="s">
        <v>2013</v>
      </c>
      <c r="F54" s="2200"/>
      <c r="G54" s="2200"/>
      <c r="H54" s="2200"/>
      <c r="I54" s="2200"/>
      <c r="J54" s="2200"/>
      <c r="K54" s="2200"/>
      <c r="L54" s="2200"/>
      <c r="M54" s="2200"/>
    </row>
    <row r="55" spans="1:20" ht="15" x14ac:dyDescent="0.3">
      <c r="A55" s="142"/>
      <c r="B55" s="142"/>
      <c r="C55" s="1011"/>
      <c r="D55" s="1882"/>
      <c r="E55" s="160"/>
      <c r="F55" s="807"/>
      <c r="G55" s="807"/>
      <c r="H55" s="807"/>
      <c r="I55" s="807"/>
      <c r="J55" s="807"/>
      <c r="K55" s="807"/>
      <c r="L55" s="807"/>
      <c r="M55" s="807"/>
    </row>
    <row r="56" spans="1:20" ht="15.75" customHeight="1" x14ac:dyDescent="0.3">
      <c r="A56" s="142"/>
      <c r="B56" s="145"/>
      <c r="C56" s="960" t="s">
        <v>286</v>
      </c>
      <c r="D56" s="1848">
        <f>D4</f>
        <v>6.1</v>
      </c>
      <c r="E56" s="856" t="s">
        <v>1557</v>
      </c>
      <c r="F56" s="160"/>
      <c r="G56" s="807"/>
      <c r="H56" s="807"/>
      <c r="I56" s="807"/>
      <c r="J56" s="807"/>
      <c r="K56" s="2204" t="s">
        <v>1940</v>
      </c>
      <c r="L56" s="807"/>
      <c r="M56" s="807"/>
      <c r="N56" s="599"/>
    </row>
    <row r="57" spans="1:20" ht="9.75" customHeight="1" x14ac:dyDescent="0.3">
      <c r="A57" s="254"/>
      <c r="B57" s="145"/>
      <c r="C57" s="960"/>
      <c r="D57" s="856"/>
      <c r="E57" s="1849"/>
      <c r="F57" s="160"/>
      <c r="G57" s="807"/>
      <c r="H57" s="807"/>
      <c r="I57" s="807"/>
      <c r="J57" s="807"/>
      <c r="K57" s="2204"/>
      <c r="L57" s="807"/>
      <c r="M57" s="807"/>
    </row>
    <row r="58" spans="1:20" ht="15.75" customHeight="1" x14ac:dyDescent="0.3">
      <c r="A58" s="254"/>
      <c r="B58" s="145"/>
      <c r="C58" s="960"/>
      <c r="D58" s="856"/>
      <c r="E58" s="1848" t="s">
        <v>1558</v>
      </c>
      <c r="F58" s="160"/>
      <c r="G58" s="807"/>
      <c r="H58" s="807"/>
      <c r="I58" s="807"/>
      <c r="J58" s="807"/>
      <c r="K58" s="2204"/>
      <c r="L58" s="807"/>
      <c r="M58" s="807"/>
      <c r="N58" s="599"/>
    </row>
    <row r="59" spans="1:20" s="44" customFormat="1" ht="71.25" customHeight="1" x14ac:dyDescent="0.3">
      <c r="A59" s="139">
        <v>116</v>
      </c>
      <c r="B59" s="139" t="s">
        <v>227</v>
      </c>
      <c r="C59" s="1202"/>
      <c r="D59" s="1849"/>
      <c r="E59" s="1883">
        <f>'Merge Details_Printing instr'!A20</f>
        <v>2023</v>
      </c>
      <c r="F59" s="1860" t="s">
        <v>449</v>
      </c>
      <c r="G59" s="1862" t="s">
        <v>78</v>
      </c>
      <c r="H59" s="1862" t="s">
        <v>450</v>
      </c>
      <c r="I59" s="1862" t="s">
        <v>451</v>
      </c>
      <c r="J59" s="1862" t="s">
        <v>576</v>
      </c>
      <c r="K59" s="2205"/>
      <c r="L59" s="1884" t="s">
        <v>334</v>
      </c>
      <c r="M59" s="1853" t="s">
        <v>347</v>
      </c>
    </row>
    <row r="60" spans="1:20" ht="18" customHeight="1" x14ac:dyDescent="0.3">
      <c r="A60" s="142"/>
      <c r="B60" s="142"/>
      <c r="C60" s="1089"/>
      <c r="D60" s="1885"/>
      <c r="E60" s="1856"/>
      <c r="F60" s="1857"/>
      <c r="G60" s="1858"/>
      <c r="H60" s="1859" t="str">
        <f>"(note "&amp;'Note 9'!D5&amp;")"</f>
        <v>(note 9.1)</v>
      </c>
      <c r="I60" s="1859" t="str">
        <f>"(note "&amp;'Notes 2 to 5'!E271&amp;")"</f>
        <v>(note 3.4)</v>
      </c>
      <c r="J60" s="1857"/>
      <c r="K60" s="1862" t="s">
        <v>204</v>
      </c>
      <c r="L60" s="807"/>
      <c r="M60" s="1857"/>
    </row>
    <row r="61" spans="1:20" s="44" customFormat="1" ht="18" customHeight="1" x14ac:dyDescent="0.3">
      <c r="A61" s="145"/>
      <c r="B61" s="145"/>
      <c r="C61" s="1116"/>
      <c r="D61" s="1863"/>
      <c r="E61" s="1861"/>
      <c r="F61" s="1862" t="s">
        <v>60</v>
      </c>
      <c r="G61" s="1862" t="s">
        <v>60</v>
      </c>
      <c r="H61" s="1862" t="s">
        <v>60</v>
      </c>
      <c r="I61" s="1862" t="s">
        <v>60</v>
      </c>
      <c r="J61" s="1862" t="s">
        <v>60</v>
      </c>
      <c r="K61" s="1862" t="s">
        <v>60</v>
      </c>
      <c r="L61" s="1862" t="s">
        <v>60</v>
      </c>
      <c r="M61" s="1862" t="s">
        <v>60</v>
      </c>
    </row>
    <row r="62" spans="1:20" ht="15" x14ac:dyDescent="0.3">
      <c r="A62" s="142"/>
      <c r="B62" s="142"/>
      <c r="C62" s="1089"/>
      <c r="D62" s="1885"/>
      <c r="E62" s="1871" t="s">
        <v>452</v>
      </c>
      <c r="F62" s="1864"/>
      <c r="G62" s="1864"/>
      <c r="H62" s="1865"/>
      <c r="I62" s="1865"/>
      <c r="J62" s="1865"/>
      <c r="K62" s="1865"/>
      <c r="L62" s="1865"/>
      <c r="M62" s="807"/>
      <c r="O62" s="3"/>
    </row>
    <row r="63" spans="1:20" ht="15" x14ac:dyDescent="0.3">
      <c r="A63" s="142"/>
      <c r="B63" s="142"/>
      <c r="C63" s="1089"/>
      <c r="D63" s="1885"/>
      <c r="E63" s="1866" t="s">
        <v>92</v>
      </c>
      <c r="F63" s="1886">
        <v>165810</v>
      </c>
      <c r="G63" s="1867">
        <v>0</v>
      </c>
      <c r="H63" s="805">
        <v>0</v>
      </c>
      <c r="I63" s="805">
        <v>0</v>
      </c>
      <c r="J63" s="805">
        <v>0</v>
      </c>
      <c r="K63" s="805">
        <v>0</v>
      </c>
      <c r="L63" s="805">
        <v>0</v>
      </c>
      <c r="M63" s="805">
        <f>SUM(F63:L63)</f>
        <v>165810</v>
      </c>
      <c r="O63" s="3"/>
    </row>
    <row r="64" spans="1:20" ht="15" x14ac:dyDescent="0.3">
      <c r="A64" s="142"/>
      <c r="B64" s="142"/>
      <c r="C64" s="1089"/>
      <c r="D64" s="1885"/>
      <c r="E64" s="1866" t="s">
        <v>179</v>
      </c>
      <c r="F64" s="1867">
        <v>0</v>
      </c>
      <c r="G64" s="1867">
        <v>0</v>
      </c>
      <c r="H64" s="805">
        <v>0</v>
      </c>
      <c r="I64" s="805">
        <v>0</v>
      </c>
      <c r="J64" s="805">
        <v>0</v>
      </c>
      <c r="K64" s="805">
        <v>0</v>
      </c>
      <c r="L64" s="805">
        <v>0</v>
      </c>
      <c r="M64" s="805">
        <f>SUM(F64:L64)</f>
        <v>0</v>
      </c>
      <c r="O64" s="3"/>
    </row>
    <row r="65" spans="1:15" ht="15" x14ac:dyDescent="0.3">
      <c r="A65" s="142"/>
      <c r="B65" s="142"/>
      <c r="C65" s="1089"/>
      <c r="D65" s="1885"/>
      <c r="E65" s="1866" t="s">
        <v>199</v>
      </c>
      <c r="F65" s="1886">
        <v>4909</v>
      </c>
      <c r="G65" s="1886">
        <v>2947</v>
      </c>
      <c r="H65" s="805">
        <v>0</v>
      </c>
      <c r="I65" s="805">
        <v>-289</v>
      </c>
      <c r="J65" s="805">
        <v>0</v>
      </c>
      <c r="K65" s="805">
        <v>0</v>
      </c>
      <c r="L65" s="805">
        <v>0</v>
      </c>
      <c r="M65" s="805">
        <f>SUM(F65:L65)</f>
        <v>7567</v>
      </c>
      <c r="O65" s="3"/>
    </row>
    <row r="66" spans="1:15" ht="15" x14ac:dyDescent="0.3">
      <c r="A66" s="142"/>
      <c r="B66" s="142"/>
      <c r="C66" s="1089"/>
      <c r="D66" s="1885"/>
      <c r="E66" s="1868" t="s">
        <v>122</v>
      </c>
      <c r="F66" s="1888">
        <f>SUM(F63:F65)</f>
        <v>170719</v>
      </c>
      <c r="G66" s="1888">
        <f t="shared" ref="G66:L66" si="11">SUM(G63:G65)</f>
        <v>2947</v>
      </c>
      <c r="H66" s="865">
        <f t="shared" si="11"/>
        <v>0</v>
      </c>
      <c r="I66" s="865">
        <f t="shared" si="11"/>
        <v>-289</v>
      </c>
      <c r="J66" s="865">
        <f t="shared" si="11"/>
        <v>0</v>
      </c>
      <c r="K66" s="865">
        <f t="shared" si="11"/>
        <v>0</v>
      </c>
      <c r="L66" s="865">
        <f t="shared" si="11"/>
        <v>0</v>
      </c>
      <c r="M66" s="865">
        <f t="shared" ref="M66" si="12">SUM(M63:M65)</f>
        <v>173377</v>
      </c>
      <c r="O66" s="3"/>
    </row>
    <row r="67" spans="1:15" ht="9" customHeight="1" x14ac:dyDescent="0.3">
      <c r="A67" s="142"/>
      <c r="B67" s="142"/>
      <c r="C67" s="1089"/>
      <c r="D67" s="1885"/>
      <c r="E67" s="1857"/>
      <c r="F67" s="1886"/>
      <c r="G67" s="1886"/>
      <c r="H67" s="1887"/>
      <c r="I67" s="1887"/>
      <c r="J67" s="1887"/>
      <c r="K67" s="1887"/>
      <c r="L67" s="1887"/>
      <c r="M67" s="805"/>
      <c r="O67" s="3"/>
    </row>
    <row r="68" spans="1:15" ht="15" x14ac:dyDescent="0.3">
      <c r="A68" s="142"/>
      <c r="B68" s="142"/>
      <c r="C68" s="1089"/>
      <c r="D68" s="1885"/>
      <c r="E68" s="1866" t="s">
        <v>93</v>
      </c>
      <c r="F68" s="1886">
        <v>68959</v>
      </c>
      <c r="G68" s="1886">
        <v>2506</v>
      </c>
      <c r="H68" s="805">
        <v>0</v>
      </c>
      <c r="I68" s="805">
        <v>-1639</v>
      </c>
      <c r="J68" s="805">
        <v>0</v>
      </c>
      <c r="K68" s="805">
        <v>0</v>
      </c>
      <c r="L68" s="1887">
        <v>4094</v>
      </c>
      <c r="M68" s="805">
        <f>SUM(F68:L68)</f>
        <v>73920</v>
      </c>
    </row>
    <row r="69" spans="1:15" ht="15" x14ac:dyDescent="0.3">
      <c r="A69" s="142"/>
      <c r="B69" s="142"/>
      <c r="C69" s="1089"/>
      <c r="D69" s="1885"/>
      <c r="E69" s="1866" t="s">
        <v>533</v>
      </c>
      <c r="F69" s="1886">
        <v>4879</v>
      </c>
      <c r="G69" s="1886">
        <v>273</v>
      </c>
      <c r="H69" s="805">
        <v>0</v>
      </c>
      <c r="I69" s="805">
        <v>-193</v>
      </c>
      <c r="J69" s="805">
        <v>0</v>
      </c>
      <c r="K69" s="805">
        <v>0</v>
      </c>
      <c r="L69" s="805">
        <v>0</v>
      </c>
      <c r="M69" s="805">
        <f>SUM(F69:L69)</f>
        <v>4959</v>
      </c>
    </row>
    <row r="70" spans="1:15" ht="15" x14ac:dyDescent="0.3">
      <c r="A70" s="142"/>
      <c r="B70" s="142"/>
      <c r="C70" s="1089"/>
      <c r="D70" s="1885"/>
      <c r="E70" s="1870" t="s">
        <v>255</v>
      </c>
      <c r="F70" s="1867">
        <v>0</v>
      </c>
      <c r="G70" s="1867">
        <v>0</v>
      </c>
      <c r="H70" s="805">
        <v>0</v>
      </c>
      <c r="I70" s="805">
        <v>0</v>
      </c>
      <c r="J70" s="805">
        <v>0</v>
      </c>
      <c r="K70" s="805">
        <v>0</v>
      </c>
      <c r="L70" s="805">
        <v>0</v>
      </c>
      <c r="M70" s="805">
        <f>SUM(F70:L70)</f>
        <v>0</v>
      </c>
    </row>
    <row r="71" spans="1:15" ht="15" x14ac:dyDescent="0.3">
      <c r="A71" s="142"/>
      <c r="B71" s="142"/>
      <c r="C71" s="1089"/>
      <c r="D71" s="1885"/>
      <c r="E71" s="1870" t="s">
        <v>453</v>
      </c>
      <c r="F71" s="1886">
        <v>569</v>
      </c>
      <c r="G71" s="1886">
        <v>93</v>
      </c>
      <c r="H71" s="805">
        <v>0</v>
      </c>
      <c r="I71" s="805">
        <v>-137</v>
      </c>
      <c r="J71" s="805">
        <v>0</v>
      </c>
      <c r="K71" s="805">
        <v>0</v>
      </c>
      <c r="L71" s="805">
        <v>0</v>
      </c>
      <c r="M71" s="805">
        <f>SUM(F71:L71)</f>
        <v>525</v>
      </c>
    </row>
    <row r="72" spans="1:15" ht="15" x14ac:dyDescent="0.3">
      <c r="A72" s="142"/>
      <c r="B72" s="142"/>
      <c r="C72" s="1089"/>
      <c r="D72" s="1885"/>
      <c r="E72" s="1868" t="s">
        <v>121</v>
      </c>
      <c r="F72" s="1889">
        <f>SUM(F68:F71)</f>
        <v>74407</v>
      </c>
      <c r="G72" s="1888">
        <f t="shared" ref="G72:L72" si="13">SUM(G68:G71)</f>
        <v>2872</v>
      </c>
      <c r="H72" s="865">
        <f t="shared" si="13"/>
        <v>0</v>
      </c>
      <c r="I72" s="865">
        <f t="shared" si="13"/>
        <v>-1969</v>
      </c>
      <c r="J72" s="865">
        <f t="shared" si="13"/>
        <v>0</v>
      </c>
      <c r="K72" s="865">
        <f t="shared" si="13"/>
        <v>0</v>
      </c>
      <c r="L72" s="1889">
        <f t="shared" si="13"/>
        <v>4094</v>
      </c>
      <c r="M72" s="865">
        <f t="shared" ref="M72" si="14">SUM(M68:M71)</f>
        <v>79404</v>
      </c>
    </row>
    <row r="73" spans="1:15" ht="15" x14ac:dyDescent="0.3">
      <c r="A73" s="142"/>
      <c r="B73" s="142"/>
      <c r="C73" s="1089"/>
      <c r="D73" s="1885"/>
      <c r="E73" s="1868" t="s">
        <v>123</v>
      </c>
      <c r="F73" s="1888">
        <f>+F66+F72</f>
        <v>245126</v>
      </c>
      <c r="G73" s="1888">
        <f t="shared" ref="G73:L73" si="15">+G66+G72</f>
        <v>5819</v>
      </c>
      <c r="H73" s="865">
        <f t="shared" si="15"/>
        <v>0</v>
      </c>
      <c r="I73" s="865">
        <f t="shared" si="15"/>
        <v>-2258</v>
      </c>
      <c r="J73" s="865">
        <f t="shared" si="15"/>
        <v>0</v>
      </c>
      <c r="K73" s="865">
        <f t="shared" si="15"/>
        <v>0</v>
      </c>
      <c r="L73" s="1889">
        <f t="shared" si="15"/>
        <v>4094</v>
      </c>
      <c r="M73" s="865">
        <f>+M66+M72</f>
        <v>252781</v>
      </c>
    </row>
    <row r="74" spans="1:15" ht="8.25" customHeight="1" x14ac:dyDescent="0.3">
      <c r="A74" s="142"/>
      <c r="B74" s="142"/>
      <c r="C74" s="1089"/>
      <c r="D74" s="1885"/>
      <c r="E74" s="1870"/>
      <c r="F74" s="1886"/>
      <c r="G74" s="1886"/>
      <c r="H74" s="1887"/>
      <c r="I74" s="1887"/>
      <c r="J74" s="1887"/>
      <c r="K74" s="1887"/>
      <c r="L74" s="1887"/>
      <c r="M74" s="805"/>
    </row>
    <row r="75" spans="1:15" ht="15" x14ac:dyDescent="0.3">
      <c r="A75" s="142"/>
      <c r="B75" s="142"/>
      <c r="C75" s="1089"/>
      <c r="D75" s="1885"/>
      <c r="E75" s="1871" t="s">
        <v>120</v>
      </c>
      <c r="F75" s="1886"/>
      <c r="G75" s="1886"/>
      <c r="H75" s="1887"/>
      <c r="I75" s="1887"/>
      <c r="J75" s="1887"/>
      <c r="K75" s="1887"/>
      <c r="L75" s="1887"/>
      <c r="M75" s="805"/>
    </row>
    <row r="76" spans="1:15" ht="27.6" x14ac:dyDescent="0.3">
      <c r="A76" s="142"/>
      <c r="B76" s="142"/>
      <c r="C76" s="1089"/>
      <c r="D76" s="1885"/>
      <c r="E76" s="1870" t="s">
        <v>534</v>
      </c>
      <c r="F76" s="1886">
        <v>11448</v>
      </c>
      <c r="G76" s="1886">
        <v>2291</v>
      </c>
      <c r="H76" s="805">
        <v>0</v>
      </c>
      <c r="I76" s="805">
        <v>-2129</v>
      </c>
      <c r="J76" s="805">
        <v>-935</v>
      </c>
      <c r="K76" s="805">
        <v>0</v>
      </c>
      <c r="L76" s="805">
        <v>0</v>
      </c>
      <c r="M76" s="805">
        <f>SUM(F76:L76)</f>
        <v>10675</v>
      </c>
    </row>
    <row r="77" spans="1:15" ht="27.6" x14ac:dyDescent="0.3">
      <c r="A77" s="142"/>
      <c r="B77" s="142"/>
      <c r="C77" s="1089"/>
      <c r="D77" s="1885"/>
      <c r="E77" s="1872" t="s">
        <v>536</v>
      </c>
      <c r="F77" s="1887">
        <v>6138</v>
      </c>
      <c r="G77" s="1887">
        <v>1807</v>
      </c>
      <c r="H77" s="805">
        <v>0</v>
      </c>
      <c r="I77" s="805">
        <v>-1669</v>
      </c>
      <c r="J77" s="805">
        <v>-1133</v>
      </c>
      <c r="K77" s="805">
        <v>0</v>
      </c>
      <c r="L77" s="805">
        <v>0</v>
      </c>
      <c r="M77" s="805">
        <f>SUM(F77:L77)</f>
        <v>5143</v>
      </c>
    </row>
    <row r="78" spans="1:15" ht="27.6" x14ac:dyDescent="0.3">
      <c r="A78" s="142"/>
      <c r="B78" s="142"/>
      <c r="C78" s="1089"/>
      <c r="D78" s="1885"/>
      <c r="E78" s="1872" t="s">
        <v>535</v>
      </c>
      <c r="F78" s="1887">
        <v>857</v>
      </c>
      <c r="G78" s="1887">
        <v>544</v>
      </c>
      <c r="H78" s="805">
        <v>0</v>
      </c>
      <c r="I78" s="805">
        <v>-297</v>
      </c>
      <c r="J78" s="805">
        <v>0</v>
      </c>
      <c r="K78" s="805">
        <v>0</v>
      </c>
      <c r="L78" s="805">
        <v>0</v>
      </c>
      <c r="M78" s="805">
        <f>SUM(F78:L78)</f>
        <v>1104</v>
      </c>
    </row>
    <row r="79" spans="1:15" ht="27.6" x14ac:dyDescent="0.3">
      <c r="A79" s="142"/>
      <c r="B79" s="142"/>
      <c r="C79" s="1089"/>
      <c r="D79" s="1885"/>
      <c r="E79" s="1872" t="s">
        <v>375</v>
      </c>
      <c r="F79" s="1867">
        <v>0</v>
      </c>
      <c r="G79" s="1867">
        <v>0</v>
      </c>
      <c r="H79" s="805">
        <v>0</v>
      </c>
      <c r="I79" s="805">
        <v>0</v>
      </c>
      <c r="J79" s="805">
        <v>0</v>
      </c>
      <c r="K79" s="805">
        <v>0</v>
      </c>
      <c r="L79" s="805">
        <v>0</v>
      </c>
      <c r="M79" s="805">
        <f>SUM(F79:L79)</f>
        <v>0</v>
      </c>
    </row>
    <row r="80" spans="1:15" ht="27.6" x14ac:dyDescent="0.3">
      <c r="A80" s="142"/>
      <c r="B80" s="142"/>
      <c r="C80" s="1089"/>
      <c r="D80" s="1885"/>
      <c r="E80" s="712" t="s">
        <v>374</v>
      </c>
      <c r="F80" s="1867">
        <v>0</v>
      </c>
      <c r="G80" s="1887">
        <v>27</v>
      </c>
      <c r="H80" s="805">
        <v>0</v>
      </c>
      <c r="I80" s="805">
        <v>-11</v>
      </c>
      <c r="J80" s="805">
        <v>0</v>
      </c>
      <c r="K80" s="805">
        <v>0</v>
      </c>
      <c r="L80" s="805">
        <v>0</v>
      </c>
      <c r="M80" s="805">
        <f>SUM(F80:L80)</f>
        <v>16</v>
      </c>
    </row>
    <row r="81" spans="1:14" ht="15" x14ac:dyDescent="0.3">
      <c r="A81" s="142"/>
      <c r="B81" s="142"/>
      <c r="C81" s="1089"/>
      <c r="D81" s="1885"/>
      <c r="E81" s="1868" t="s">
        <v>575</v>
      </c>
      <c r="F81" s="1888">
        <f t="shared" ref="F81:L81" si="16">SUM(F76:F80)</f>
        <v>18443</v>
      </c>
      <c r="G81" s="1888">
        <f t="shared" si="16"/>
        <v>4669</v>
      </c>
      <c r="H81" s="865">
        <f t="shared" si="16"/>
        <v>0</v>
      </c>
      <c r="I81" s="865">
        <f t="shared" si="16"/>
        <v>-4106</v>
      </c>
      <c r="J81" s="865">
        <f t="shared" si="16"/>
        <v>-2068</v>
      </c>
      <c r="K81" s="865">
        <f t="shared" si="16"/>
        <v>0</v>
      </c>
      <c r="L81" s="865">
        <f t="shared" si="16"/>
        <v>0</v>
      </c>
      <c r="M81" s="865">
        <f>SUM(M76:M80)</f>
        <v>16938</v>
      </c>
    </row>
    <row r="82" spans="1:14" s="44" customFormat="1" ht="8.25" customHeight="1" x14ac:dyDescent="0.3">
      <c r="A82" s="142"/>
      <c r="B82" s="145"/>
      <c r="C82" s="1089"/>
      <c r="D82" s="1885"/>
      <c r="E82" s="1870"/>
      <c r="F82" s="1890"/>
      <c r="G82" s="1890"/>
      <c r="H82" s="1891"/>
      <c r="I82" s="1891"/>
      <c r="J82" s="1891"/>
      <c r="K82" s="1891"/>
      <c r="L82" s="1891"/>
      <c r="M82" s="810"/>
    </row>
    <row r="83" spans="1:14" ht="15" x14ac:dyDescent="0.3">
      <c r="A83" s="142"/>
      <c r="B83" s="142"/>
      <c r="C83" s="1089"/>
      <c r="D83" s="1885"/>
      <c r="E83" s="1871" t="s">
        <v>94</v>
      </c>
      <c r="F83" s="1886"/>
      <c r="G83" s="1886"/>
      <c r="H83" s="1887"/>
      <c r="I83" s="1887"/>
      <c r="J83" s="1887"/>
      <c r="K83" s="1887"/>
      <c r="L83" s="1887"/>
      <c r="M83" s="805"/>
    </row>
    <row r="84" spans="1:14" ht="15" x14ac:dyDescent="0.3">
      <c r="A84" s="142"/>
      <c r="B84" s="142"/>
      <c r="C84" s="1089"/>
      <c r="D84" s="1885"/>
      <c r="E84" s="1870" t="s">
        <v>262</v>
      </c>
      <c r="F84" s="1867">
        <v>168216</v>
      </c>
      <c r="G84" s="1867">
        <f>3164+415</f>
        <v>3579</v>
      </c>
      <c r="H84" s="805">
        <v>0</v>
      </c>
      <c r="I84" s="805">
        <f>-5753-975</f>
        <v>-6728</v>
      </c>
      <c r="J84" s="805">
        <v>0</v>
      </c>
      <c r="K84" s="805">
        <v>0</v>
      </c>
      <c r="L84" s="805">
        <v>2047</v>
      </c>
      <c r="M84" s="805">
        <f t="shared" ref="M84:M92" si="17">SUM(F84:L84)</f>
        <v>167114</v>
      </c>
      <c r="N84" s="128"/>
    </row>
    <row r="85" spans="1:14" ht="15" x14ac:dyDescent="0.3">
      <c r="A85" s="142"/>
      <c r="B85" s="142"/>
      <c r="C85" s="1089"/>
      <c r="D85" s="1885"/>
      <c r="E85" s="1870" t="s">
        <v>614</v>
      </c>
      <c r="F85" s="1867">
        <v>4153</v>
      </c>
      <c r="G85" s="1867">
        <v>368</v>
      </c>
      <c r="H85" s="805">
        <v>0</v>
      </c>
      <c r="I85" s="805">
        <v>-244</v>
      </c>
      <c r="J85" s="805">
        <v>0</v>
      </c>
      <c r="K85" s="805">
        <v>0</v>
      </c>
      <c r="L85" s="805">
        <v>682</v>
      </c>
      <c r="M85" s="805">
        <f t="shared" si="17"/>
        <v>4959</v>
      </c>
    </row>
    <row r="86" spans="1:14" ht="15" x14ac:dyDescent="0.3">
      <c r="A86" s="142"/>
      <c r="B86" s="142"/>
      <c r="C86" s="1089"/>
      <c r="D86" s="1885"/>
      <c r="E86" s="1870" t="s">
        <v>591</v>
      </c>
      <c r="F86" s="1867">
        <v>9417</v>
      </c>
      <c r="G86" s="1867">
        <v>207</v>
      </c>
      <c r="H86" s="805">
        <v>0</v>
      </c>
      <c r="I86" s="805">
        <v>-829</v>
      </c>
      <c r="J86" s="805">
        <v>0</v>
      </c>
      <c r="K86" s="805">
        <v>0</v>
      </c>
      <c r="L86" s="805">
        <v>0</v>
      </c>
      <c r="M86" s="805">
        <f t="shared" si="17"/>
        <v>8795</v>
      </c>
    </row>
    <row r="87" spans="1:14" ht="15" x14ac:dyDescent="0.3">
      <c r="A87" s="142"/>
      <c r="B87" s="142"/>
      <c r="C87" s="1089"/>
      <c r="D87" s="1885"/>
      <c r="E87" s="1870" t="s">
        <v>348</v>
      </c>
      <c r="F87" s="1867">
        <v>38302</v>
      </c>
      <c r="G87" s="1867">
        <v>2213</v>
      </c>
      <c r="H87" s="805">
        <v>0</v>
      </c>
      <c r="I87" s="805">
        <v>-644</v>
      </c>
      <c r="J87" s="805">
        <v>0</v>
      </c>
      <c r="K87" s="805">
        <v>0</v>
      </c>
      <c r="L87" s="805">
        <v>0</v>
      </c>
      <c r="M87" s="805">
        <f t="shared" si="17"/>
        <v>39871</v>
      </c>
    </row>
    <row r="88" spans="1:14" ht="27.6" x14ac:dyDescent="0.3">
      <c r="A88" s="142"/>
      <c r="B88" s="142"/>
      <c r="C88" s="1089"/>
      <c r="D88" s="1885"/>
      <c r="E88" s="1870" t="s">
        <v>592</v>
      </c>
      <c r="F88" s="1867">
        <v>0</v>
      </c>
      <c r="G88" s="1867">
        <v>0</v>
      </c>
      <c r="H88" s="805">
        <v>0</v>
      </c>
      <c r="I88" s="805">
        <v>0</v>
      </c>
      <c r="J88" s="805">
        <v>0</v>
      </c>
      <c r="K88" s="805">
        <v>0</v>
      </c>
      <c r="L88" s="805">
        <v>0</v>
      </c>
      <c r="M88" s="805">
        <f t="shared" si="17"/>
        <v>0</v>
      </c>
    </row>
    <row r="89" spans="1:14" ht="27.6" x14ac:dyDescent="0.3">
      <c r="A89" s="142"/>
      <c r="B89" s="142"/>
      <c r="C89" s="1089"/>
      <c r="D89" s="1885"/>
      <c r="E89" s="1870" t="s">
        <v>577</v>
      </c>
      <c r="F89" s="1867">
        <v>0</v>
      </c>
      <c r="G89" s="1867">
        <v>0</v>
      </c>
      <c r="H89" s="805">
        <v>0</v>
      </c>
      <c r="I89" s="805">
        <v>0</v>
      </c>
      <c r="J89" s="805">
        <v>0</v>
      </c>
      <c r="K89" s="805">
        <v>0</v>
      </c>
      <c r="L89" s="805">
        <v>0</v>
      </c>
      <c r="M89" s="805">
        <f t="shared" si="17"/>
        <v>0</v>
      </c>
    </row>
    <row r="90" spans="1:14" ht="15" x14ac:dyDescent="0.3">
      <c r="A90" s="142"/>
      <c r="B90" s="142"/>
      <c r="C90" s="1089"/>
      <c r="D90" s="1885"/>
      <c r="E90" s="1870" t="s">
        <v>1413</v>
      </c>
      <c r="F90" s="1867">
        <v>0</v>
      </c>
      <c r="G90" s="1867">
        <v>0</v>
      </c>
      <c r="H90" s="805">
        <v>0</v>
      </c>
      <c r="I90" s="805">
        <v>0</v>
      </c>
      <c r="J90" s="805">
        <v>0</v>
      </c>
      <c r="K90" s="805">
        <v>0</v>
      </c>
      <c r="L90" s="805">
        <v>0</v>
      </c>
      <c r="M90" s="805">
        <f t="shared" si="17"/>
        <v>0</v>
      </c>
    </row>
    <row r="91" spans="1:14" ht="15" x14ac:dyDescent="0.3">
      <c r="A91" s="142"/>
      <c r="B91" s="142"/>
      <c r="C91" s="1089"/>
      <c r="D91" s="1885"/>
      <c r="E91" s="1870" t="s">
        <v>376</v>
      </c>
      <c r="F91" s="1867">
        <v>0</v>
      </c>
      <c r="G91" s="1867">
        <v>0</v>
      </c>
      <c r="H91" s="805">
        <v>0</v>
      </c>
      <c r="I91" s="805">
        <v>0</v>
      </c>
      <c r="J91" s="805">
        <v>0</v>
      </c>
      <c r="K91" s="805">
        <v>0</v>
      </c>
      <c r="L91" s="805">
        <v>0</v>
      </c>
      <c r="M91" s="805">
        <f t="shared" si="17"/>
        <v>0</v>
      </c>
    </row>
    <row r="92" spans="1:14" ht="15" x14ac:dyDescent="0.3">
      <c r="A92" s="142"/>
      <c r="B92" s="142"/>
      <c r="C92" s="1089"/>
      <c r="D92" s="1885"/>
      <c r="E92" s="1872" t="s">
        <v>1930</v>
      </c>
      <c r="F92" s="1867">
        <v>0</v>
      </c>
      <c r="G92" s="1867">
        <v>0</v>
      </c>
      <c r="H92" s="805">
        <v>0</v>
      </c>
      <c r="I92" s="805">
        <v>0</v>
      </c>
      <c r="J92" s="805">
        <v>0</v>
      </c>
      <c r="K92" s="805">
        <v>0</v>
      </c>
      <c r="L92" s="805">
        <v>0</v>
      </c>
      <c r="M92" s="805">
        <f t="shared" si="17"/>
        <v>0</v>
      </c>
    </row>
    <row r="93" spans="1:14" ht="15" x14ac:dyDescent="0.3">
      <c r="A93" s="142"/>
      <c r="B93" s="142"/>
      <c r="C93" s="1089"/>
      <c r="D93" s="1885"/>
      <c r="E93" s="1868" t="s">
        <v>546</v>
      </c>
      <c r="F93" s="1869">
        <f>SUM(F84:F92)</f>
        <v>220088</v>
      </c>
      <c r="G93" s="1869">
        <f t="shared" ref="G93:L93" si="18">SUM(G84:G92)</f>
        <v>6367</v>
      </c>
      <c r="H93" s="865">
        <f t="shared" si="18"/>
        <v>0</v>
      </c>
      <c r="I93" s="865">
        <f t="shared" si="18"/>
        <v>-8445</v>
      </c>
      <c r="J93" s="865">
        <f t="shared" si="18"/>
        <v>0</v>
      </c>
      <c r="K93" s="865">
        <f t="shared" si="18"/>
        <v>0</v>
      </c>
      <c r="L93" s="865">
        <f t="shared" si="18"/>
        <v>2729</v>
      </c>
      <c r="M93" s="865">
        <f t="shared" ref="M93" si="19">SUM(M84:M92)</f>
        <v>220739</v>
      </c>
    </row>
    <row r="94" spans="1:14" ht="15" x14ac:dyDescent="0.3">
      <c r="A94" s="142"/>
      <c r="B94" s="142"/>
      <c r="C94" s="1089"/>
      <c r="D94" s="1885"/>
      <c r="E94" s="1866"/>
      <c r="F94" s="1874"/>
      <c r="G94" s="1874"/>
      <c r="H94" s="1875"/>
      <c r="I94" s="1875"/>
      <c r="J94" s="1875"/>
      <c r="K94" s="1875"/>
      <c r="L94" s="1875"/>
      <c r="M94" s="1875"/>
    </row>
    <row r="95" spans="1:14" ht="5.25" customHeight="1" x14ac:dyDescent="0.3">
      <c r="A95" s="142"/>
      <c r="B95" s="142"/>
      <c r="C95" s="1089"/>
      <c r="D95" s="1885"/>
      <c r="E95" s="1866"/>
      <c r="F95" s="1876"/>
      <c r="G95" s="1876"/>
      <c r="H95" s="1876"/>
      <c r="I95" s="1876"/>
      <c r="J95" s="1876"/>
      <c r="K95" s="1876"/>
      <c r="L95" s="1876"/>
      <c r="M95" s="1876"/>
    </row>
    <row r="96" spans="1:14" ht="15" x14ac:dyDescent="0.3">
      <c r="A96" s="142"/>
      <c r="B96" s="142"/>
      <c r="C96" s="1089"/>
      <c r="D96" s="1885"/>
      <c r="E96" s="1871" t="s">
        <v>143</v>
      </c>
      <c r="F96" s="1877"/>
      <c r="G96" s="1877"/>
      <c r="H96" s="1877"/>
      <c r="I96" s="1877"/>
      <c r="J96" s="1877"/>
      <c r="K96" s="1877"/>
      <c r="L96" s="1877"/>
      <c r="M96" s="1877"/>
    </row>
    <row r="97" spans="1:14" ht="15" x14ac:dyDescent="0.3">
      <c r="A97" s="142"/>
      <c r="B97" s="142"/>
      <c r="C97" s="1089"/>
      <c r="D97" s="1885"/>
      <c r="E97" s="712" t="s">
        <v>93</v>
      </c>
      <c r="F97" s="805">
        <v>6914</v>
      </c>
      <c r="G97" s="805">
        <v>2566</v>
      </c>
      <c r="H97" s="805">
        <v>0</v>
      </c>
      <c r="I97" s="805">
        <v>0</v>
      </c>
      <c r="J97" s="805">
        <v>0</v>
      </c>
      <c r="K97" s="805">
        <v>0</v>
      </c>
      <c r="L97" s="805">
        <v>-4095</v>
      </c>
      <c r="M97" s="1867">
        <f>SUM(F97:H97)-I97-J97+L97-K97</f>
        <v>5385</v>
      </c>
    </row>
    <row r="98" spans="1:14" ht="15" x14ac:dyDescent="0.3">
      <c r="A98" s="142"/>
      <c r="B98" s="142"/>
      <c r="C98" s="1089"/>
      <c r="D98" s="1885"/>
      <c r="E98" s="1872" t="s">
        <v>262</v>
      </c>
      <c r="F98" s="805">
        <v>2998</v>
      </c>
      <c r="G98" s="805">
        <v>1740</v>
      </c>
      <c r="H98" s="805">
        <v>0</v>
      </c>
      <c r="I98" s="805">
        <v>0</v>
      </c>
      <c r="J98" s="805">
        <v>0</v>
      </c>
      <c r="K98" s="805">
        <v>0</v>
      </c>
      <c r="L98" s="805">
        <v>-2046</v>
      </c>
      <c r="M98" s="1867">
        <f>SUM(F98:H98)-I98-J98+L98-K98</f>
        <v>2692</v>
      </c>
    </row>
    <row r="99" spans="1:14" ht="15" x14ac:dyDescent="0.3">
      <c r="A99" s="142"/>
      <c r="B99" s="142"/>
      <c r="C99" s="1089"/>
      <c r="D99" s="1885"/>
      <c r="E99" s="1872" t="s">
        <v>614</v>
      </c>
      <c r="F99" s="805">
        <v>998</v>
      </c>
      <c r="G99" s="805">
        <v>581</v>
      </c>
      <c r="H99" s="805">
        <v>0</v>
      </c>
      <c r="I99" s="805">
        <v>0</v>
      </c>
      <c r="J99" s="805">
        <v>0</v>
      </c>
      <c r="K99" s="805">
        <v>0</v>
      </c>
      <c r="L99" s="805">
        <v>-682</v>
      </c>
      <c r="M99" s="1867">
        <f>SUM(F99:H99)-I99-J99+L99-K99</f>
        <v>897</v>
      </c>
    </row>
    <row r="100" spans="1:14" ht="15" x14ac:dyDescent="0.3">
      <c r="A100" s="142"/>
      <c r="B100" s="142"/>
      <c r="C100" s="1089"/>
      <c r="D100" s="1885"/>
      <c r="E100" s="1892" t="s">
        <v>344</v>
      </c>
      <c r="F100" s="865">
        <f t="shared" ref="F100:L100" si="20">SUM(F97:F99)</f>
        <v>10910</v>
      </c>
      <c r="G100" s="865">
        <f t="shared" si="20"/>
        <v>4887</v>
      </c>
      <c r="H100" s="865">
        <f t="shared" si="20"/>
        <v>0</v>
      </c>
      <c r="I100" s="865">
        <f t="shared" si="20"/>
        <v>0</v>
      </c>
      <c r="J100" s="865">
        <f t="shared" si="20"/>
        <v>0</v>
      </c>
      <c r="K100" s="865">
        <f t="shared" si="20"/>
        <v>0</v>
      </c>
      <c r="L100" s="865">
        <f t="shared" si="20"/>
        <v>-6823</v>
      </c>
      <c r="M100" s="1869">
        <f>SUM(F100:H100)-I100-J100+L100-K100</f>
        <v>8974</v>
      </c>
    </row>
    <row r="101" spans="1:14" ht="45.75" customHeight="1" x14ac:dyDescent="0.3">
      <c r="A101" s="142"/>
      <c r="B101" s="142"/>
      <c r="C101" s="1089"/>
      <c r="D101" s="1885"/>
      <c r="E101" s="1879" t="s">
        <v>1402</v>
      </c>
      <c r="F101" s="1893">
        <f t="shared" ref="F101:L101" si="21">+F73+F81+F93+F100</f>
        <v>494567</v>
      </c>
      <c r="G101" s="1893">
        <f t="shared" si="21"/>
        <v>21742</v>
      </c>
      <c r="H101" s="1893">
        <f t="shared" si="21"/>
        <v>0</v>
      </c>
      <c r="I101" s="1893">
        <f t="shared" si="21"/>
        <v>-14809</v>
      </c>
      <c r="J101" s="1893">
        <f t="shared" si="21"/>
        <v>-2068</v>
      </c>
      <c r="K101" s="1893">
        <f t="shared" si="21"/>
        <v>0</v>
      </c>
      <c r="L101" s="1880">
        <f t="shared" si="21"/>
        <v>0</v>
      </c>
      <c r="M101" s="1880">
        <f>+M73+M81+M93+M100</f>
        <v>499432</v>
      </c>
    </row>
    <row r="102" spans="1:14" ht="15" x14ac:dyDescent="0.3">
      <c r="A102" s="254"/>
      <c r="B102" s="254"/>
      <c r="C102" s="1089"/>
      <c r="D102" s="1885"/>
      <c r="E102" s="1879"/>
      <c r="F102" s="1894"/>
      <c r="G102" s="1894"/>
      <c r="H102" s="1894"/>
      <c r="I102" s="1894"/>
      <c r="J102" s="1894"/>
      <c r="K102" s="1894"/>
      <c r="L102" s="1881"/>
      <c r="M102" s="807"/>
    </row>
    <row r="103" spans="1:14" ht="15" x14ac:dyDescent="0.3">
      <c r="A103" s="254"/>
      <c r="B103" s="254"/>
      <c r="C103" s="1089"/>
      <c r="D103" s="1885"/>
      <c r="E103" s="2202" t="s">
        <v>1941</v>
      </c>
      <c r="F103" s="2203"/>
      <c r="G103" s="2203"/>
      <c r="H103" s="2203"/>
      <c r="I103" s="2203"/>
      <c r="J103" s="2203"/>
      <c r="K103" s="2203"/>
      <c r="L103" s="2203"/>
      <c r="M103" s="1913"/>
    </row>
    <row r="104" spans="1:14" ht="15" x14ac:dyDescent="0.3">
      <c r="A104" s="254"/>
      <c r="B104" s="254"/>
      <c r="C104" s="1089"/>
      <c r="D104" s="1885"/>
      <c r="E104" s="1914" t="s">
        <v>1798</v>
      </c>
      <c r="F104" s="1913"/>
      <c r="G104" s="1913"/>
      <c r="H104" s="1913"/>
      <c r="I104" s="1913"/>
      <c r="J104" s="1913"/>
      <c r="K104" s="1913"/>
      <c r="L104" s="1913"/>
      <c r="M104" s="1913"/>
    </row>
    <row r="105" spans="1:14" ht="15" x14ac:dyDescent="0.3">
      <c r="A105" s="254"/>
      <c r="B105" s="254"/>
      <c r="C105" s="1089"/>
      <c r="D105" s="1885"/>
      <c r="E105" s="1914" t="s">
        <v>242</v>
      </c>
      <c r="F105" s="1913"/>
      <c r="G105" s="1913"/>
      <c r="H105" s="1913"/>
      <c r="I105" s="1913"/>
      <c r="J105" s="1913"/>
      <c r="K105" s="1913"/>
      <c r="L105" s="1913"/>
      <c r="M105" s="1913"/>
    </row>
    <row r="106" spans="1:14" ht="33" customHeight="1" x14ac:dyDescent="0.3">
      <c r="A106" s="142"/>
      <c r="B106" s="142"/>
      <c r="C106" s="1089"/>
      <c r="D106" s="1089"/>
      <c r="E106" s="2200" t="s">
        <v>1939</v>
      </c>
      <c r="F106" s="2200"/>
      <c r="G106" s="2200"/>
      <c r="H106" s="2200"/>
      <c r="I106" s="2200"/>
      <c r="J106" s="2200"/>
      <c r="K106" s="2200"/>
      <c r="L106" s="2200"/>
      <c r="M106" s="2200"/>
    </row>
    <row r="107" spans="1:14" ht="4.5" customHeight="1" x14ac:dyDescent="0.25">
      <c r="A107" s="254"/>
      <c r="B107" s="254"/>
      <c r="C107" s="1089"/>
      <c r="D107" s="1089"/>
      <c r="E107" s="963"/>
      <c r="F107" s="1165"/>
      <c r="G107" s="1165"/>
      <c r="H107" s="1165"/>
      <c r="I107" s="1165"/>
      <c r="J107" s="1165"/>
      <c r="K107" s="1165"/>
      <c r="L107" s="1224"/>
      <c r="M107" s="1224"/>
    </row>
    <row r="108" spans="1:14" ht="15.75" customHeight="1" x14ac:dyDescent="0.25">
      <c r="A108" s="254"/>
      <c r="B108" s="145"/>
      <c r="C108" s="956" t="str">
        <f>$C$56</f>
        <v>Note</v>
      </c>
      <c r="D108" s="956">
        <f>$D$56</f>
        <v>6.1</v>
      </c>
      <c r="E108" s="956" t="s">
        <v>1557</v>
      </c>
      <c r="F108" s="1165"/>
      <c r="G108" s="1165"/>
      <c r="H108" s="1165"/>
      <c r="I108" s="1165"/>
      <c r="J108" s="1165"/>
      <c r="K108" s="1165"/>
      <c r="L108" s="1224"/>
      <c r="M108" s="1224"/>
      <c r="N108" s="599"/>
    </row>
    <row r="109" spans="1:14" ht="9" customHeight="1" thickBot="1" x14ac:dyDescent="0.3">
      <c r="A109" s="254"/>
      <c r="B109" s="145"/>
      <c r="C109" s="960"/>
      <c r="D109" s="960"/>
      <c r="E109" s="1202"/>
      <c r="F109" s="1165"/>
      <c r="G109" s="1165"/>
      <c r="H109" s="1165"/>
      <c r="I109" s="1165"/>
      <c r="J109" s="1165"/>
      <c r="K109" s="1165"/>
      <c r="L109" s="1224"/>
      <c r="M109" s="1224"/>
    </row>
    <row r="110" spans="1:14" x14ac:dyDescent="0.25">
      <c r="A110" s="254"/>
      <c r="B110" s="254"/>
      <c r="C110" s="1089"/>
      <c r="D110" s="1089"/>
      <c r="E110" s="2197" t="s">
        <v>1133</v>
      </c>
      <c r="F110" s="2198"/>
      <c r="G110" s="2198"/>
      <c r="H110" s="2198"/>
      <c r="I110" s="2198"/>
      <c r="J110" s="2198"/>
      <c r="K110" s="2198"/>
      <c r="L110" s="2198"/>
      <c r="M110" s="2199"/>
    </row>
    <row r="111" spans="1:14" ht="12" customHeight="1" x14ac:dyDescent="0.25">
      <c r="A111" s="254"/>
      <c r="B111" s="254"/>
      <c r="C111" s="1089"/>
      <c r="D111" s="1089"/>
      <c r="E111" s="1239"/>
      <c r="F111" s="1060"/>
      <c r="G111" s="1060"/>
      <c r="H111" s="1060"/>
      <c r="I111" s="1060"/>
      <c r="J111" s="1060"/>
      <c r="K111" s="1240"/>
      <c r="L111" s="1240"/>
      <c r="M111" s="1241"/>
    </row>
    <row r="112" spans="1:14" x14ac:dyDescent="0.25">
      <c r="A112" s="254"/>
      <c r="B112" s="254"/>
      <c r="C112" s="1089"/>
      <c r="D112" s="1089"/>
      <c r="E112" s="2191" t="s">
        <v>264</v>
      </c>
      <c r="F112" s="2192"/>
      <c r="G112" s="2192"/>
      <c r="H112" s="2192"/>
      <c r="I112" s="2192"/>
      <c r="J112" s="2192"/>
      <c r="K112" s="2192"/>
      <c r="L112" s="2192"/>
      <c r="M112" s="2193"/>
    </row>
    <row r="113" spans="1:13" ht="31.5" customHeight="1" x14ac:dyDescent="0.25">
      <c r="A113" s="256">
        <v>116</v>
      </c>
      <c r="B113" s="256">
        <v>15</v>
      </c>
      <c r="C113" s="1089"/>
      <c r="D113" s="1089"/>
      <c r="E113" s="2132" t="s">
        <v>854</v>
      </c>
      <c r="F113" s="2133"/>
      <c r="G113" s="2133"/>
      <c r="H113" s="2133"/>
      <c r="I113" s="2133"/>
      <c r="J113" s="2133"/>
      <c r="K113" s="2133"/>
      <c r="L113" s="2133"/>
      <c r="M113" s="2134"/>
    </row>
    <row r="114" spans="1:13" ht="46.5" customHeight="1" x14ac:dyDescent="0.25">
      <c r="A114" s="256">
        <v>116</v>
      </c>
      <c r="B114" s="256" t="s">
        <v>855</v>
      </c>
      <c r="C114" s="1089"/>
      <c r="D114" s="1089"/>
      <c r="E114" s="2132" t="s">
        <v>1345</v>
      </c>
      <c r="F114" s="2133"/>
      <c r="G114" s="2133"/>
      <c r="H114" s="2133"/>
      <c r="I114" s="2133"/>
      <c r="J114" s="2133"/>
      <c r="K114" s="2133"/>
      <c r="L114" s="2133"/>
      <c r="M114" s="2134"/>
    </row>
    <row r="115" spans="1:13" ht="29.25" customHeight="1" x14ac:dyDescent="0.25">
      <c r="A115" s="256">
        <v>116</v>
      </c>
      <c r="B115" s="256" t="s">
        <v>174</v>
      </c>
      <c r="C115" s="1089"/>
      <c r="D115" s="1089"/>
      <c r="E115" s="2132" t="s">
        <v>856</v>
      </c>
      <c r="F115" s="2133"/>
      <c r="G115" s="2133"/>
      <c r="H115" s="2133"/>
      <c r="I115" s="2133"/>
      <c r="J115" s="2133"/>
      <c r="K115" s="2133"/>
      <c r="L115" s="2133"/>
      <c r="M115" s="2134"/>
    </row>
    <row r="116" spans="1:13" ht="28.5" customHeight="1" x14ac:dyDescent="0.25">
      <c r="A116" s="256">
        <v>116</v>
      </c>
      <c r="B116" s="256" t="s">
        <v>174</v>
      </c>
      <c r="C116" s="1089"/>
      <c r="D116" s="1089"/>
      <c r="E116" s="2132" t="s">
        <v>1168</v>
      </c>
      <c r="F116" s="2133"/>
      <c r="G116" s="2133"/>
      <c r="H116" s="2133"/>
      <c r="I116" s="2133"/>
      <c r="J116" s="2133"/>
      <c r="K116" s="2133"/>
      <c r="L116" s="2133"/>
      <c r="M116" s="2134"/>
    </row>
    <row r="117" spans="1:13" ht="4.2" customHeight="1" x14ac:dyDescent="0.25">
      <c r="A117" s="256"/>
      <c r="B117" s="256"/>
      <c r="C117" s="1089"/>
      <c r="D117" s="1089"/>
      <c r="E117" s="1186"/>
      <c r="F117" s="1187"/>
      <c r="G117" s="1187"/>
      <c r="H117" s="1187"/>
      <c r="I117" s="1187"/>
      <c r="J117" s="1187"/>
      <c r="K117" s="1187"/>
      <c r="L117" s="1187"/>
      <c r="M117" s="1188"/>
    </row>
    <row r="118" spans="1:13" x14ac:dyDescent="0.25">
      <c r="A118" s="1976"/>
      <c r="B118" s="1976"/>
      <c r="C118" s="1089"/>
      <c r="D118" s="1089"/>
      <c r="E118" s="1973"/>
      <c r="F118" s="1974"/>
      <c r="G118" s="1974"/>
      <c r="H118" s="1974"/>
      <c r="I118" s="1974"/>
      <c r="J118" s="1244" t="s">
        <v>390</v>
      </c>
      <c r="K118" s="1974"/>
      <c r="L118" s="1974"/>
      <c r="M118" s="1975"/>
    </row>
    <row r="119" spans="1:13" x14ac:dyDescent="0.25">
      <c r="A119" s="254"/>
      <c r="B119" s="254"/>
      <c r="C119" s="1089"/>
      <c r="D119" s="1089"/>
      <c r="E119" s="1242"/>
      <c r="F119" s="1243"/>
      <c r="G119" s="1243"/>
      <c r="H119" s="1243"/>
      <c r="I119" s="1243"/>
      <c r="J119" s="1244" t="str">
        <f>'Merge Details_Printing instr'!A24</f>
        <v>$'000</v>
      </c>
      <c r="K119" s="1187"/>
      <c r="L119" s="1243"/>
      <c r="M119" s="1188"/>
    </row>
    <row r="120" spans="1:13" x14ac:dyDescent="0.25">
      <c r="A120" s="254"/>
      <c r="B120" s="254"/>
      <c r="C120" s="1089"/>
      <c r="D120" s="1089"/>
      <c r="E120" s="1097" t="s">
        <v>92</v>
      </c>
      <c r="F120" s="1243"/>
      <c r="G120" s="1243"/>
      <c r="H120" s="1243"/>
      <c r="I120" s="1243"/>
      <c r="J120" s="1243"/>
      <c r="K120" s="1243"/>
      <c r="L120" s="1243"/>
      <c r="M120" s="1188"/>
    </row>
    <row r="121" spans="1:13" x14ac:dyDescent="0.25">
      <c r="A121" s="254"/>
      <c r="B121" s="254"/>
      <c r="C121" s="1089"/>
      <c r="D121" s="1089"/>
      <c r="E121" s="1097" t="s">
        <v>1414</v>
      </c>
      <c r="F121" s="1243"/>
      <c r="G121" s="1243"/>
      <c r="H121" s="1243"/>
      <c r="I121" s="1243"/>
      <c r="J121" s="1243"/>
      <c r="K121" s="1243"/>
      <c r="L121" s="1243"/>
      <c r="M121" s="1245"/>
    </row>
    <row r="122" spans="1:13" x14ac:dyDescent="0.25">
      <c r="A122" s="254"/>
      <c r="B122" s="254"/>
      <c r="C122" s="1089"/>
      <c r="D122" s="1089"/>
      <c r="E122" s="1097" t="s">
        <v>1415</v>
      </c>
      <c r="F122" s="1243"/>
      <c r="G122" s="1243"/>
      <c r="H122" s="1243"/>
      <c r="I122" s="1243"/>
      <c r="J122" s="1243"/>
      <c r="K122" s="1243"/>
      <c r="L122" s="1243"/>
      <c r="M122" s="1246"/>
    </row>
    <row r="123" spans="1:13" x14ac:dyDescent="0.25">
      <c r="A123" s="254"/>
      <c r="B123" s="254"/>
      <c r="C123" s="1089"/>
      <c r="D123" s="1089"/>
      <c r="E123" s="1097" t="s">
        <v>1416</v>
      </c>
      <c r="F123" s="1243"/>
      <c r="G123" s="1243"/>
      <c r="H123" s="1243"/>
      <c r="I123" s="1243"/>
      <c r="J123" s="1243"/>
      <c r="K123" s="1243"/>
      <c r="L123" s="1243"/>
      <c r="M123" s="1246"/>
    </row>
    <row r="124" spans="1:13" x14ac:dyDescent="0.25">
      <c r="A124" s="254"/>
      <c r="B124" s="254"/>
      <c r="C124" s="1089"/>
      <c r="D124" s="1089"/>
      <c r="E124" s="1097" t="s">
        <v>93</v>
      </c>
      <c r="F124" s="1243"/>
      <c r="G124" s="1243"/>
      <c r="H124" s="1243"/>
      <c r="I124" s="1243"/>
      <c r="J124" s="1243"/>
      <c r="K124" s="1243"/>
      <c r="L124" s="1243"/>
      <c r="M124" s="1246"/>
    </row>
    <row r="125" spans="1:13" x14ac:dyDescent="0.25">
      <c r="A125" s="254"/>
      <c r="B125" s="254"/>
      <c r="C125" s="1089"/>
      <c r="D125" s="1089"/>
      <c r="E125" s="1097" t="s">
        <v>1417</v>
      </c>
      <c r="F125" s="1243"/>
      <c r="G125" s="1243"/>
      <c r="H125" s="1243"/>
      <c r="I125" s="1243"/>
      <c r="J125" s="1243"/>
      <c r="K125" s="1243"/>
      <c r="L125" s="1243"/>
      <c r="M125" s="1246"/>
    </row>
    <row r="126" spans="1:13" x14ac:dyDescent="0.25">
      <c r="A126" s="254"/>
      <c r="B126" s="254"/>
      <c r="C126" s="1089"/>
      <c r="D126" s="1089"/>
      <c r="E126" s="1097" t="s">
        <v>1418</v>
      </c>
      <c r="F126" s="1243"/>
      <c r="G126" s="1243"/>
      <c r="H126" s="1243"/>
      <c r="I126" s="1243"/>
      <c r="J126" s="1243"/>
      <c r="K126" s="1243"/>
      <c r="L126" s="1243"/>
      <c r="M126" s="1246"/>
    </row>
    <row r="127" spans="1:13" x14ac:dyDescent="0.25">
      <c r="A127" s="254"/>
      <c r="B127" s="254"/>
      <c r="C127" s="1089"/>
      <c r="D127" s="1089"/>
      <c r="E127" s="1097" t="s">
        <v>1673</v>
      </c>
      <c r="F127" s="1243"/>
      <c r="G127" s="1243"/>
      <c r="H127" s="1243"/>
      <c r="I127" s="1243"/>
      <c r="J127" s="1243"/>
      <c r="K127" s="1243"/>
      <c r="L127" s="1243"/>
      <c r="M127" s="1246"/>
    </row>
    <row r="128" spans="1:13" x14ac:dyDescent="0.25">
      <c r="A128" s="254"/>
      <c r="B128" s="254"/>
      <c r="C128" s="1089"/>
      <c r="D128" s="1089"/>
      <c r="E128" s="1097" t="s">
        <v>1419</v>
      </c>
      <c r="F128" s="1243"/>
      <c r="G128" s="1243"/>
      <c r="H128" s="1243"/>
      <c r="I128" s="1243"/>
      <c r="J128" s="1243"/>
      <c r="K128" s="1243"/>
      <c r="L128" s="1243"/>
      <c r="M128" s="1246"/>
    </row>
    <row r="129" spans="1:15" x14ac:dyDescent="0.25">
      <c r="A129" s="254"/>
      <c r="B129" s="254"/>
      <c r="C129" s="1089"/>
      <c r="D129" s="1089"/>
      <c r="E129" s="1247" t="s">
        <v>120</v>
      </c>
      <c r="F129" s="1243"/>
      <c r="G129" s="1243"/>
      <c r="H129" s="1243"/>
      <c r="I129" s="1243"/>
      <c r="J129" s="1243"/>
      <c r="K129" s="1243"/>
      <c r="L129" s="1243"/>
      <c r="M129" s="1246"/>
    </row>
    <row r="130" spans="1:15" x14ac:dyDescent="0.25">
      <c r="A130" s="254"/>
      <c r="B130" s="254"/>
      <c r="C130" s="1089"/>
      <c r="D130" s="1089"/>
      <c r="E130" s="1097" t="s">
        <v>1420</v>
      </c>
      <c r="F130" s="1240"/>
      <c r="G130" s="1240"/>
      <c r="H130" s="1240"/>
      <c r="I130" s="1240"/>
      <c r="J130" s="1240"/>
      <c r="K130" s="1240"/>
      <c r="L130" s="1240"/>
      <c r="M130" s="1241"/>
    </row>
    <row r="131" spans="1:15" x14ac:dyDescent="0.25">
      <c r="A131" s="254"/>
      <c r="B131" s="254"/>
      <c r="C131" s="1089"/>
      <c r="D131" s="1089"/>
      <c r="E131" s="1097" t="s">
        <v>1421</v>
      </c>
      <c r="F131" s="1240"/>
      <c r="G131" s="1240"/>
      <c r="H131" s="1240"/>
      <c r="I131" s="1240"/>
      <c r="J131" s="1240"/>
      <c r="K131" s="1240"/>
      <c r="L131" s="1240"/>
      <c r="M131" s="1241"/>
    </row>
    <row r="132" spans="1:15" x14ac:dyDescent="0.25">
      <c r="A132" s="254"/>
      <c r="B132" s="254"/>
      <c r="C132" s="1089"/>
      <c r="D132" s="1089"/>
      <c r="E132" s="1097" t="s">
        <v>1422</v>
      </c>
      <c r="F132" s="1240"/>
      <c r="G132" s="1240"/>
      <c r="H132" s="1240"/>
      <c r="I132" s="1240"/>
      <c r="J132" s="1240"/>
      <c r="K132" s="1240"/>
      <c r="L132" s="1240"/>
      <c r="M132" s="1241"/>
    </row>
    <row r="133" spans="1:15" x14ac:dyDescent="0.25">
      <c r="A133" s="254"/>
      <c r="B133" s="254"/>
      <c r="C133" s="1089"/>
      <c r="D133" s="1089"/>
      <c r="E133" s="1097" t="s">
        <v>1423</v>
      </c>
      <c r="F133" s="1240"/>
      <c r="G133" s="1240"/>
      <c r="H133" s="1240"/>
      <c r="I133" s="1240"/>
      <c r="J133" s="1240"/>
      <c r="K133" s="1240"/>
      <c r="L133" s="1240"/>
      <c r="M133" s="1241"/>
    </row>
    <row r="134" spans="1:15" x14ac:dyDescent="0.25">
      <c r="A134" s="254"/>
      <c r="B134" s="254"/>
      <c r="C134" s="1089"/>
      <c r="D134" s="1089"/>
      <c r="E134" s="1097" t="s">
        <v>94</v>
      </c>
      <c r="F134" s="1240"/>
      <c r="G134" s="1240"/>
      <c r="H134" s="1240"/>
      <c r="I134" s="1240"/>
      <c r="J134" s="1240"/>
      <c r="K134" s="1240"/>
      <c r="L134" s="1240"/>
      <c r="M134" s="1241"/>
      <c r="O134" s="722"/>
    </row>
    <row r="135" spans="1:15" x14ac:dyDescent="0.25">
      <c r="A135" s="254"/>
      <c r="B135" s="254"/>
      <c r="C135" s="1089"/>
      <c r="D135" s="1089"/>
      <c r="E135" s="1098" t="s">
        <v>262</v>
      </c>
      <c r="F135" s="1240"/>
      <c r="G135" s="1240"/>
      <c r="H135" s="1240"/>
      <c r="I135" s="1240"/>
      <c r="J135" s="1240"/>
      <c r="K135" s="1240"/>
      <c r="L135" s="1240"/>
      <c r="M135" s="1241"/>
    </row>
    <row r="136" spans="1:15" x14ac:dyDescent="0.25">
      <c r="A136" s="254"/>
      <c r="B136" s="254"/>
      <c r="C136" s="1089"/>
      <c r="D136" s="1089"/>
      <c r="E136" s="1098" t="s">
        <v>1424</v>
      </c>
      <c r="F136" s="1240"/>
      <c r="G136" s="1240"/>
      <c r="H136" s="1240"/>
      <c r="I136" s="1240"/>
      <c r="J136" s="1240"/>
      <c r="K136" s="1240"/>
      <c r="L136" s="1240"/>
      <c r="M136" s="1241"/>
    </row>
    <row r="137" spans="1:15" x14ac:dyDescent="0.25">
      <c r="A137" s="254"/>
      <c r="B137" s="254"/>
      <c r="C137" s="1089"/>
      <c r="D137" s="1089"/>
      <c r="E137" s="1098" t="s">
        <v>1425</v>
      </c>
      <c r="F137" s="1240"/>
      <c r="G137" s="1240"/>
      <c r="H137" s="1240"/>
      <c r="I137" s="1240"/>
      <c r="J137" s="1240"/>
      <c r="K137" s="1240"/>
      <c r="L137" s="1240"/>
      <c r="M137" s="1241"/>
    </row>
    <row r="138" spans="1:15" x14ac:dyDescent="0.25">
      <c r="A138" s="254"/>
      <c r="B138" s="254"/>
      <c r="C138" s="1089"/>
      <c r="D138" s="1089"/>
      <c r="E138" s="1098" t="s">
        <v>1426</v>
      </c>
      <c r="F138" s="1240"/>
      <c r="G138" s="1240"/>
      <c r="H138" s="1240"/>
      <c r="I138" s="1240"/>
      <c r="J138" s="1240"/>
      <c r="K138" s="1240"/>
      <c r="L138" s="1240"/>
      <c r="M138" s="1241"/>
    </row>
    <row r="139" spans="1:15" x14ac:dyDescent="0.25">
      <c r="A139" s="254"/>
      <c r="B139" s="254"/>
      <c r="C139" s="1089"/>
      <c r="D139" s="1089"/>
      <c r="E139" s="1098" t="s">
        <v>1427</v>
      </c>
      <c r="F139" s="1240"/>
      <c r="G139" s="1240"/>
      <c r="H139" s="1240"/>
      <c r="I139" s="1240"/>
      <c r="J139" s="1240"/>
      <c r="K139" s="1240"/>
      <c r="L139" s="1240"/>
      <c r="M139" s="1241"/>
    </row>
    <row r="140" spans="1:15" x14ac:dyDescent="0.25">
      <c r="A140" s="254"/>
      <c r="B140" s="254"/>
      <c r="C140" s="1089"/>
      <c r="D140" s="1089"/>
      <c r="E140" s="1098" t="s">
        <v>1428</v>
      </c>
      <c r="F140" s="1240"/>
      <c r="G140" s="1240"/>
      <c r="H140" s="1240"/>
      <c r="I140" s="1240"/>
      <c r="J140" s="1240"/>
      <c r="K140" s="1240"/>
      <c r="L140" s="1240"/>
      <c r="M140" s="1241"/>
    </row>
    <row r="141" spans="1:15" x14ac:dyDescent="0.25">
      <c r="A141" s="254"/>
      <c r="B141" s="254"/>
      <c r="C141" s="1089"/>
      <c r="D141" s="1089"/>
      <c r="E141" s="1098" t="s">
        <v>614</v>
      </c>
      <c r="F141" s="1240"/>
      <c r="G141" s="1240"/>
      <c r="H141" s="1240"/>
      <c r="I141" s="1240"/>
      <c r="J141" s="1240"/>
      <c r="K141" s="1240"/>
      <c r="L141" s="1240"/>
      <c r="M141" s="1241"/>
    </row>
    <row r="142" spans="1:15" x14ac:dyDescent="0.25">
      <c r="A142" s="254"/>
      <c r="B142" s="254"/>
      <c r="C142" s="1089"/>
      <c r="D142" s="1089"/>
      <c r="E142" s="1098" t="s">
        <v>1429</v>
      </c>
      <c r="F142" s="1240"/>
      <c r="G142" s="1240"/>
      <c r="H142" s="1240"/>
      <c r="I142" s="1240"/>
      <c r="J142" s="1240"/>
      <c r="K142" s="1240"/>
      <c r="L142" s="1240"/>
      <c r="M142" s="1241"/>
    </row>
    <row r="143" spans="1:15" x14ac:dyDescent="0.25">
      <c r="A143" s="254"/>
      <c r="B143" s="254"/>
      <c r="C143" s="1089"/>
      <c r="D143" s="1089"/>
      <c r="E143" s="1098" t="s">
        <v>1430</v>
      </c>
      <c r="F143" s="1240"/>
      <c r="G143" s="1240"/>
      <c r="H143" s="1240"/>
      <c r="I143" s="1240"/>
      <c r="J143" s="1240"/>
      <c r="K143" s="1240"/>
      <c r="L143" s="1240"/>
      <c r="M143" s="1241"/>
    </row>
    <row r="144" spans="1:15" x14ac:dyDescent="0.25">
      <c r="A144" s="254"/>
      <c r="B144" s="254"/>
      <c r="C144" s="1089"/>
      <c r="D144" s="1089"/>
      <c r="E144" s="1098" t="s">
        <v>1431</v>
      </c>
      <c r="F144" s="1240"/>
      <c r="G144" s="1240"/>
      <c r="H144" s="1240"/>
      <c r="I144" s="1240"/>
      <c r="J144" s="1240"/>
      <c r="K144" s="1240"/>
      <c r="L144" s="1240"/>
      <c r="M144" s="1241"/>
    </row>
    <row r="145" spans="1:14" x14ac:dyDescent="0.25">
      <c r="A145" s="254"/>
      <c r="B145" s="254"/>
      <c r="C145" s="1089"/>
      <c r="D145" s="1089"/>
      <c r="E145" s="1097" t="s">
        <v>1432</v>
      </c>
      <c r="F145" s="1240"/>
      <c r="G145" s="1240"/>
      <c r="H145" s="1240"/>
      <c r="I145" s="1240"/>
      <c r="J145" s="1240"/>
      <c r="K145" s="1240"/>
      <c r="L145" s="1240"/>
      <c r="M145" s="1241"/>
    </row>
    <row r="146" spans="1:14" x14ac:dyDescent="0.25">
      <c r="A146" s="254"/>
      <c r="B146" s="254"/>
      <c r="C146" s="1089"/>
      <c r="D146" s="1089"/>
      <c r="E146" s="1097" t="s">
        <v>1433</v>
      </c>
      <c r="F146" s="1240"/>
      <c r="G146" s="1240"/>
      <c r="H146" s="1240"/>
      <c r="I146" s="1240"/>
      <c r="J146" s="1240"/>
      <c r="K146" s="1240"/>
      <c r="L146" s="1240"/>
      <c r="M146" s="1241"/>
    </row>
    <row r="147" spans="1:14" x14ac:dyDescent="0.25">
      <c r="A147" s="254"/>
      <c r="B147" s="254"/>
      <c r="C147" s="1089"/>
      <c r="D147" s="1089"/>
      <c r="E147" s="1097" t="s">
        <v>1434</v>
      </c>
      <c r="F147" s="1240"/>
      <c r="G147" s="1240"/>
      <c r="H147" s="1240"/>
      <c r="I147" s="1240"/>
      <c r="J147" s="1240"/>
      <c r="K147" s="1240"/>
      <c r="L147" s="1240"/>
      <c r="M147" s="1241"/>
    </row>
    <row r="148" spans="1:14" x14ac:dyDescent="0.25">
      <c r="A148" s="254"/>
      <c r="B148" s="254"/>
      <c r="C148" s="1089"/>
      <c r="D148" s="1089"/>
      <c r="E148" s="1097" t="s">
        <v>1436</v>
      </c>
      <c r="F148" s="1240"/>
      <c r="G148" s="1240"/>
      <c r="H148" s="1240"/>
      <c r="I148" s="1240"/>
      <c r="J148" s="1240"/>
      <c r="K148" s="1240"/>
      <c r="L148" s="1240"/>
      <c r="M148" s="1241"/>
    </row>
    <row r="149" spans="1:14" x14ac:dyDescent="0.25">
      <c r="A149" s="254"/>
      <c r="B149" s="254"/>
      <c r="C149" s="1089"/>
      <c r="D149" s="1089"/>
      <c r="E149" s="1097" t="s">
        <v>1437</v>
      </c>
      <c r="F149" s="1240"/>
      <c r="G149" s="1240"/>
      <c r="H149" s="1240"/>
      <c r="I149" s="1240"/>
      <c r="J149" s="1240"/>
      <c r="K149" s="1240"/>
      <c r="L149" s="1240"/>
      <c r="M149" s="1241"/>
    </row>
    <row r="150" spans="1:14" x14ac:dyDescent="0.25">
      <c r="A150" s="254"/>
      <c r="B150" s="254"/>
      <c r="C150" s="1089"/>
      <c r="D150" s="1089"/>
      <c r="E150" s="1097" t="s">
        <v>1684</v>
      </c>
      <c r="F150" s="1240"/>
      <c r="G150" s="1240"/>
      <c r="H150" s="1240"/>
      <c r="I150" s="1240"/>
      <c r="J150" s="1240"/>
      <c r="K150" s="1240"/>
      <c r="L150" s="1240"/>
      <c r="M150" s="1241"/>
    </row>
    <row r="151" spans="1:14" ht="4.5" customHeight="1" thickBot="1" x14ac:dyDescent="0.3">
      <c r="A151" s="254"/>
      <c r="B151" s="254"/>
      <c r="C151" s="1089"/>
      <c r="D151" s="1089"/>
      <c r="E151" s="1248"/>
      <c r="F151" s="1249"/>
      <c r="G151" s="1249"/>
      <c r="H151" s="1249"/>
      <c r="I151" s="1249"/>
      <c r="J151" s="1249"/>
      <c r="K151" s="1249"/>
      <c r="L151" s="1249"/>
      <c r="M151" s="1250"/>
    </row>
    <row r="152" spans="1:14" ht="4.5" customHeight="1" x14ac:dyDescent="0.25">
      <c r="A152" s="254"/>
      <c r="B152" s="254"/>
      <c r="C152" s="1011"/>
      <c r="D152" s="1011"/>
      <c r="E152" s="1165"/>
      <c r="F152" s="1224"/>
      <c r="G152" s="1224"/>
      <c r="H152" s="1224"/>
      <c r="I152" s="1224"/>
      <c r="J152" s="1224"/>
      <c r="K152" s="1224"/>
      <c r="L152" s="1224"/>
      <c r="M152" s="1224"/>
    </row>
    <row r="153" spans="1:14" ht="7.95" customHeight="1" x14ac:dyDescent="0.25">
      <c r="A153" s="254"/>
      <c r="B153" s="254"/>
      <c r="C153" s="1011"/>
      <c r="D153" s="1011"/>
      <c r="E153" s="1165"/>
      <c r="F153" s="1224"/>
      <c r="G153" s="1224"/>
      <c r="H153" s="1224"/>
      <c r="I153" s="1224"/>
      <c r="J153" s="1224"/>
      <c r="K153" s="1224"/>
      <c r="L153" s="1224"/>
      <c r="M153" s="1224"/>
    </row>
    <row r="154" spans="1:14" ht="15.75" customHeight="1" x14ac:dyDescent="0.25">
      <c r="A154" s="254"/>
      <c r="B154" s="145"/>
      <c r="C154" s="956" t="str">
        <f>$C$56</f>
        <v>Note</v>
      </c>
      <c r="D154" s="956">
        <f>$D$56</f>
        <v>6.1</v>
      </c>
      <c r="E154" s="961" t="s">
        <v>1557</v>
      </c>
      <c r="F154" s="1225"/>
      <c r="G154" s="1225"/>
      <c r="H154" s="1225"/>
      <c r="I154" s="1225"/>
      <c r="J154" s="1225"/>
      <c r="K154" s="1225"/>
      <c r="L154" s="1225"/>
      <c r="M154" s="1225"/>
      <c r="N154" s="599"/>
    </row>
    <row r="155" spans="1:14" ht="15.75" customHeight="1" thickBot="1" x14ac:dyDescent="0.3">
      <c r="A155" s="254"/>
      <c r="B155" s="145"/>
      <c r="C155" s="956"/>
      <c r="D155" s="956"/>
      <c r="E155" s="961"/>
      <c r="F155" s="1225"/>
      <c r="G155" s="1225"/>
      <c r="H155" s="1225"/>
      <c r="I155" s="1225"/>
      <c r="J155" s="1225"/>
      <c r="K155" s="1225"/>
      <c r="L155" s="1225"/>
      <c r="M155" s="1225"/>
    </row>
    <row r="156" spans="1:14" ht="15.75" customHeight="1" x14ac:dyDescent="0.25">
      <c r="A156" s="254"/>
      <c r="B156" s="145"/>
      <c r="C156" s="956"/>
      <c r="D156" s="956"/>
      <c r="E156" s="2197" t="s">
        <v>1504</v>
      </c>
      <c r="F156" s="2198"/>
      <c r="G156" s="2198"/>
      <c r="H156" s="2198"/>
      <c r="I156" s="2198"/>
      <c r="J156" s="2198"/>
      <c r="K156" s="2198"/>
      <c r="L156" s="2198"/>
      <c r="M156" s="2199"/>
    </row>
    <row r="157" spans="1:14" x14ac:dyDescent="0.25">
      <c r="A157" s="254"/>
      <c r="B157" s="254"/>
      <c r="C157" s="1089"/>
      <c r="D157" s="1089"/>
      <c r="E157" s="2191"/>
      <c r="F157" s="2192"/>
      <c r="G157" s="2192"/>
      <c r="H157" s="2192"/>
      <c r="I157" s="2192"/>
      <c r="J157" s="2192"/>
      <c r="K157" s="2192"/>
      <c r="L157" s="2192"/>
      <c r="M157" s="2193"/>
    </row>
    <row r="158" spans="1:14" x14ac:dyDescent="0.25">
      <c r="A158" s="256">
        <v>116</v>
      </c>
      <c r="B158" s="256" t="s">
        <v>174</v>
      </c>
      <c r="C158" s="1089"/>
      <c r="D158" s="1089"/>
      <c r="E158" s="2191" t="s">
        <v>101</v>
      </c>
      <c r="F158" s="2192"/>
      <c r="G158" s="2192"/>
      <c r="H158" s="2192"/>
      <c r="I158" s="2192"/>
      <c r="J158" s="2192"/>
      <c r="K158" s="2192"/>
      <c r="L158" s="2192"/>
      <c r="M158" s="2193"/>
    </row>
    <row r="159" spans="1:14" x14ac:dyDescent="0.25">
      <c r="A159" s="254"/>
      <c r="B159" s="254"/>
      <c r="C159" s="1089"/>
      <c r="D159" s="1089"/>
      <c r="E159" s="1104" t="s">
        <v>978</v>
      </c>
      <c r="F159" s="1240"/>
      <c r="G159" s="1240"/>
      <c r="H159" s="1240"/>
      <c r="I159" s="1240"/>
      <c r="J159" s="1240"/>
      <c r="K159" s="1240"/>
      <c r="L159" s="1240"/>
      <c r="M159" s="1241"/>
    </row>
    <row r="160" spans="1:14" x14ac:dyDescent="0.25">
      <c r="A160" s="254"/>
      <c r="B160" s="254"/>
      <c r="C160" s="1089"/>
      <c r="D160" s="1089"/>
      <c r="E160" s="1097" t="s">
        <v>92</v>
      </c>
      <c r="F160" s="1240"/>
      <c r="G160" s="1240"/>
      <c r="H160" s="1240"/>
      <c r="I160" s="1240"/>
      <c r="J160" s="1251" t="s">
        <v>979</v>
      </c>
      <c r="K160" s="1240"/>
      <c r="L160" s="1240"/>
      <c r="M160" s="1241"/>
    </row>
    <row r="161" spans="1:15" x14ac:dyDescent="0.25">
      <c r="A161" s="254"/>
      <c r="B161" s="254"/>
      <c r="C161" s="1089"/>
      <c r="D161" s="1089"/>
      <c r="E161" s="1097" t="s">
        <v>179</v>
      </c>
      <c r="F161" s="1240"/>
      <c r="G161" s="1240"/>
      <c r="H161" s="1240"/>
      <c r="I161" s="1240"/>
      <c r="J161" s="1251" t="s">
        <v>979</v>
      </c>
      <c r="K161" s="1240"/>
      <c r="L161" s="1240"/>
      <c r="M161" s="1241"/>
    </row>
    <row r="162" spans="1:15" x14ac:dyDescent="0.25">
      <c r="A162" s="254"/>
      <c r="B162" s="254"/>
      <c r="C162" s="1089"/>
      <c r="D162" s="1089"/>
      <c r="E162" s="1097" t="s">
        <v>980</v>
      </c>
      <c r="F162" s="1240"/>
      <c r="G162" s="1240"/>
      <c r="H162" s="1240"/>
      <c r="I162" s="1240"/>
      <c r="J162" s="1251" t="s">
        <v>981</v>
      </c>
      <c r="K162" s="1240"/>
      <c r="L162" s="1240"/>
      <c r="M162" s="1241"/>
    </row>
    <row r="163" spans="1:15" x14ac:dyDescent="0.25">
      <c r="A163" s="254"/>
      <c r="B163" s="254"/>
      <c r="C163" s="1089"/>
      <c r="D163" s="1089"/>
      <c r="E163" s="1097" t="s">
        <v>982</v>
      </c>
      <c r="F163" s="1240"/>
      <c r="G163" s="1240"/>
      <c r="H163" s="1240"/>
      <c r="I163" s="1240"/>
      <c r="J163" s="1251" t="s">
        <v>981</v>
      </c>
      <c r="K163" s="1240"/>
      <c r="L163" s="1240"/>
      <c r="M163" s="1241"/>
    </row>
    <row r="164" spans="1:15" x14ac:dyDescent="0.25">
      <c r="A164" s="254"/>
      <c r="B164" s="254"/>
      <c r="C164" s="1089"/>
      <c r="D164" s="1089"/>
      <c r="E164" s="1097" t="s">
        <v>983</v>
      </c>
      <c r="F164" s="1240"/>
      <c r="G164" s="1240"/>
      <c r="H164" s="1240"/>
      <c r="I164" s="1240"/>
      <c r="J164" s="1251" t="s">
        <v>979</v>
      </c>
      <c r="K164" s="1240"/>
      <c r="L164" s="1240"/>
      <c r="M164" s="1241"/>
    </row>
    <row r="165" spans="1:15" x14ac:dyDescent="0.25">
      <c r="A165" s="254"/>
      <c r="B165" s="254"/>
      <c r="C165" s="1089"/>
      <c r="D165" s="1089"/>
      <c r="E165" s="1097" t="s">
        <v>984</v>
      </c>
      <c r="F165" s="1240"/>
      <c r="G165" s="1240"/>
      <c r="H165" s="1240"/>
      <c r="I165" s="1240"/>
      <c r="J165" s="1251" t="s">
        <v>979</v>
      </c>
      <c r="K165" s="1240"/>
      <c r="L165" s="1240"/>
      <c r="M165" s="1241"/>
    </row>
    <row r="166" spans="1:15" x14ac:dyDescent="0.25">
      <c r="A166" s="254"/>
      <c r="B166" s="254"/>
      <c r="C166" s="1089"/>
      <c r="D166" s="1089"/>
      <c r="E166" s="1097" t="s">
        <v>614</v>
      </c>
      <c r="F166" s="1240"/>
      <c r="G166" s="1240"/>
      <c r="H166" s="1240"/>
      <c r="I166" s="1240"/>
      <c r="J166" s="1251" t="s">
        <v>979</v>
      </c>
      <c r="K166" s="1240"/>
      <c r="L166" s="1240"/>
      <c r="M166" s="1241"/>
    </row>
    <row r="167" spans="1:15" x14ac:dyDescent="0.25">
      <c r="A167" s="254"/>
      <c r="B167" s="254"/>
      <c r="C167" s="1089"/>
      <c r="D167" s="1089"/>
      <c r="E167" s="1097" t="s">
        <v>145</v>
      </c>
      <c r="F167" s="1240"/>
      <c r="G167" s="1240"/>
      <c r="H167" s="1240"/>
      <c r="I167" s="1240"/>
      <c r="J167" s="1251" t="s">
        <v>979</v>
      </c>
      <c r="K167" s="1240"/>
      <c r="L167" s="1240"/>
      <c r="M167" s="1241"/>
      <c r="N167" s="674"/>
    </row>
    <row r="168" spans="1:15" x14ac:dyDescent="0.25">
      <c r="A168" s="254"/>
      <c r="B168" s="254"/>
      <c r="C168" s="1089"/>
      <c r="D168" s="1089"/>
      <c r="E168" s="1097" t="s">
        <v>985</v>
      </c>
      <c r="F168" s="1240"/>
      <c r="G168" s="1240"/>
      <c r="H168" s="1240"/>
      <c r="I168" s="1240"/>
      <c r="J168" s="1251" t="s">
        <v>981</v>
      </c>
      <c r="K168" s="1240"/>
      <c r="L168" s="1240"/>
      <c r="M168" s="1241"/>
    </row>
    <row r="169" spans="1:15" x14ac:dyDescent="0.25">
      <c r="A169" s="254"/>
      <c r="B169" s="254"/>
      <c r="C169" s="1089"/>
      <c r="D169" s="1089"/>
      <c r="E169" s="1097" t="s">
        <v>986</v>
      </c>
      <c r="F169" s="1240"/>
      <c r="G169" s="1240"/>
      <c r="H169" s="1240"/>
      <c r="I169" s="1240"/>
      <c r="J169" s="1251" t="s">
        <v>981</v>
      </c>
      <c r="K169" s="1240"/>
      <c r="L169" s="1240"/>
      <c r="M169" s="1241"/>
    </row>
    <row r="170" spans="1:15" x14ac:dyDescent="0.25">
      <c r="A170" s="254"/>
      <c r="B170" s="254"/>
      <c r="C170" s="1089"/>
      <c r="D170" s="1089"/>
      <c r="E170" s="1097"/>
      <c r="F170" s="1240"/>
      <c r="G170" s="1240"/>
      <c r="H170" s="1240"/>
      <c r="I170" s="1240"/>
      <c r="J170" s="1251"/>
      <c r="K170" s="1240"/>
      <c r="L170" s="1240"/>
      <c r="M170" s="1241"/>
      <c r="O170" s="723"/>
    </row>
    <row r="171" spans="1:15" x14ac:dyDescent="0.25">
      <c r="A171" s="254"/>
      <c r="B171" s="145"/>
      <c r="C171" s="1089"/>
      <c r="D171" s="960"/>
      <c r="E171" s="2191"/>
      <c r="F171" s="2192"/>
      <c r="G171" s="2192"/>
      <c r="H171" s="2192"/>
      <c r="I171" s="2192"/>
      <c r="J171" s="2192"/>
      <c r="K171" s="2192"/>
      <c r="L171" s="2192"/>
      <c r="M171" s="2193"/>
    </row>
    <row r="172" spans="1:15" ht="72.75" customHeight="1" x14ac:dyDescent="0.25">
      <c r="A172" s="254"/>
      <c r="B172" s="254"/>
      <c r="C172" s="1089"/>
      <c r="D172" s="1089"/>
      <c r="E172" s="2132" t="s">
        <v>1866</v>
      </c>
      <c r="F172" s="2133"/>
      <c r="G172" s="2133"/>
      <c r="H172" s="2133"/>
      <c r="I172" s="2133"/>
      <c r="J172" s="2133"/>
      <c r="K172" s="2133"/>
      <c r="L172" s="2133"/>
      <c r="M172" s="2134"/>
    </row>
    <row r="173" spans="1:15" ht="57" customHeight="1" x14ac:dyDescent="0.25">
      <c r="A173" s="254"/>
      <c r="B173" s="254"/>
      <c r="C173" s="1089"/>
      <c r="D173" s="1089"/>
      <c r="E173" s="2168" t="s">
        <v>2066</v>
      </c>
      <c r="F173" s="2169"/>
      <c r="G173" s="2169"/>
      <c r="H173" s="2169"/>
      <c r="I173" s="2169"/>
      <c r="J173" s="2169"/>
      <c r="K173" s="2169"/>
      <c r="L173" s="2169"/>
      <c r="M173" s="2170"/>
      <c r="N173" s="1997" t="s">
        <v>2014</v>
      </c>
    </row>
    <row r="174" spans="1:15" ht="47.25" customHeight="1" x14ac:dyDescent="0.25">
      <c r="A174" s="254"/>
      <c r="B174" s="254"/>
      <c r="C174" s="1089"/>
      <c r="D174" s="1089"/>
      <c r="E174" s="2132" t="s">
        <v>1777</v>
      </c>
      <c r="F174" s="2133"/>
      <c r="G174" s="2133"/>
      <c r="H174" s="2133"/>
      <c r="I174" s="2133"/>
      <c r="J174" s="2133"/>
      <c r="K174" s="2133"/>
      <c r="L174" s="2133"/>
      <c r="M174" s="2134"/>
    </row>
    <row r="175" spans="1:15" ht="84.75" customHeight="1" x14ac:dyDescent="0.25">
      <c r="A175" s="254"/>
      <c r="B175" s="254"/>
      <c r="C175" s="1089"/>
      <c r="D175" s="1089"/>
      <c r="E175" s="2132" t="s">
        <v>1778</v>
      </c>
      <c r="F175" s="2133"/>
      <c r="G175" s="2133"/>
      <c r="H175" s="2133"/>
      <c r="I175" s="2133"/>
      <c r="J175" s="2133"/>
      <c r="K175" s="2133"/>
      <c r="L175" s="2133"/>
      <c r="M175" s="2134"/>
    </row>
    <row r="176" spans="1:15" x14ac:dyDescent="0.25">
      <c r="A176" s="254"/>
      <c r="B176" s="254"/>
      <c r="C176" s="1089"/>
      <c r="D176" s="1089"/>
      <c r="E176" s="1239" t="s">
        <v>71</v>
      </c>
      <c r="F176" s="1187"/>
      <c r="G176" s="1187"/>
      <c r="H176" s="1187"/>
      <c r="I176" s="1187"/>
      <c r="J176" s="1187"/>
      <c r="K176" s="1187"/>
      <c r="L176" s="1187"/>
      <c r="M176" s="1188"/>
    </row>
    <row r="177" spans="1:14" x14ac:dyDescent="0.25">
      <c r="A177" s="254"/>
      <c r="B177" s="254"/>
      <c r="C177" s="1089"/>
      <c r="D177" s="1089"/>
      <c r="E177" s="2132" t="s">
        <v>241</v>
      </c>
      <c r="F177" s="2133"/>
      <c r="G177" s="2133"/>
      <c r="H177" s="2133"/>
      <c r="I177" s="2133"/>
      <c r="J177" s="2133"/>
      <c r="K177" s="2133"/>
      <c r="L177" s="2133"/>
      <c r="M177" s="2134"/>
    </row>
    <row r="178" spans="1:14" x14ac:dyDescent="0.25">
      <c r="A178" s="254"/>
      <c r="B178" s="254"/>
      <c r="C178" s="1089"/>
      <c r="D178" s="1089"/>
      <c r="E178" s="2132" t="s">
        <v>242</v>
      </c>
      <c r="F178" s="2133"/>
      <c r="G178" s="2133"/>
      <c r="H178" s="2133"/>
      <c r="I178" s="2133"/>
      <c r="J178" s="2133"/>
      <c r="K178" s="2133"/>
      <c r="L178" s="2133"/>
      <c r="M178" s="2134"/>
    </row>
    <row r="179" spans="1:14" x14ac:dyDescent="0.25">
      <c r="A179" s="254"/>
      <c r="B179" s="254"/>
      <c r="C179" s="1089"/>
      <c r="D179" s="1089"/>
      <c r="E179" s="1186"/>
      <c r="F179" s="1187"/>
      <c r="G179" s="1187"/>
      <c r="H179" s="1187"/>
      <c r="I179" s="1187"/>
      <c r="J179" s="1187"/>
      <c r="K179" s="1187"/>
      <c r="L179" s="1187"/>
      <c r="M179" s="1188"/>
    </row>
    <row r="180" spans="1:14" x14ac:dyDescent="0.25">
      <c r="A180" s="254"/>
      <c r="B180" s="254"/>
      <c r="C180" s="1089"/>
      <c r="D180" s="1089"/>
      <c r="E180" s="2191" t="s">
        <v>179</v>
      </c>
      <c r="F180" s="2192"/>
      <c r="G180" s="2192"/>
      <c r="H180" s="2192"/>
      <c r="I180" s="2192"/>
      <c r="J180" s="2192"/>
      <c r="K180" s="2192"/>
      <c r="L180" s="2192"/>
      <c r="M180" s="2193"/>
    </row>
    <row r="181" spans="1:14" x14ac:dyDescent="0.25">
      <c r="A181" s="256">
        <v>1051</v>
      </c>
      <c r="B181" s="256">
        <v>11</v>
      </c>
      <c r="C181" s="1089"/>
      <c r="D181" s="1089"/>
      <c r="E181" s="2182" t="s">
        <v>685</v>
      </c>
      <c r="F181" s="2183"/>
      <c r="G181" s="2183"/>
      <c r="H181" s="2183"/>
      <c r="I181" s="2183"/>
      <c r="J181" s="2183"/>
      <c r="K181" s="2183"/>
      <c r="L181" s="2183"/>
      <c r="M181" s="2184"/>
    </row>
    <row r="182" spans="1:14" x14ac:dyDescent="0.25">
      <c r="A182" s="256"/>
      <c r="B182" s="256"/>
      <c r="C182" s="1089"/>
      <c r="D182" s="1089"/>
      <c r="E182" s="2185" t="s">
        <v>497</v>
      </c>
      <c r="F182" s="2186"/>
      <c r="G182" s="2186"/>
      <c r="H182" s="2186"/>
      <c r="I182" s="2186"/>
      <c r="J182" s="2186"/>
      <c r="K182" s="2186"/>
      <c r="L182" s="2186"/>
      <c r="M182" s="2187"/>
      <c r="N182" s="355" t="s">
        <v>796</v>
      </c>
    </row>
    <row r="183" spans="1:14" ht="36.75" customHeight="1" thickBot="1" x14ac:dyDescent="0.3">
      <c r="A183" s="256">
        <v>116</v>
      </c>
      <c r="B183" s="256">
        <v>15</v>
      </c>
      <c r="C183" s="1089"/>
      <c r="D183" s="1089"/>
      <c r="E183" s="2188" t="s">
        <v>1779</v>
      </c>
      <c r="F183" s="2189"/>
      <c r="G183" s="2189"/>
      <c r="H183" s="2189"/>
      <c r="I183" s="2189"/>
      <c r="J183" s="2189"/>
      <c r="K183" s="2189"/>
      <c r="L183" s="2189"/>
      <c r="M183" s="2190"/>
      <c r="N183" s="355"/>
    </row>
    <row r="184" spans="1:14" x14ac:dyDescent="0.25">
      <c r="A184" s="670"/>
      <c r="B184" s="670"/>
      <c r="C184" s="1089"/>
      <c r="D184" s="1089"/>
      <c r="E184" s="1224"/>
      <c r="F184" s="1224"/>
      <c r="G184" s="1224"/>
      <c r="H184" s="1224"/>
      <c r="I184" s="1224"/>
      <c r="J184" s="1224"/>
      <c r="K184" s="1224"/>
      <c r="L184" s="1224"/>
      <c r="M184" s="1224"/>
      <c r="N184" s="355"/>
    </row>
    <row r="185" spans="1:14" x14ac:dyDescent="0.25">
      <c r="A185" s="670"/>
      <c r="B185" s="670"/>
      <c r="C185" s="1089"/>
      <c r="D185" s="1089"/>
      <c r="E185" s="1224"/>
      <c r="F185" s="1224"/>
      <c r="G185" s="1224"/>
      <c r="H185" s="1224"/>
      <c r="I185" s="1224"/>
      <c r="J185" s="1224"/>
      <c r="K185" s="1224"/>
      <c r="L185" s="1224"/>
      <c r="M185" s="1224"/>
      <c r="N185" s="355"/>
    </row>
    <row r="186" spans="1:14" x14ac:dyDescent="0.25">
      <c r="A186" s="254"/>
      <c r="B186" s="254"/>
      <c r="E186" s="2194"/>
      <c r="F186" s="2194"/>
      <c r="G186" s="2194"/>
      <c r="H186" s="2194"/>
      <c r="I186" s="2194"/>
      <c r="J186" s="2194"/>
      <c r="K186" s="2194"/>
      <c r="L186" s="2194"/>
      <c r="M186" s="2194"/>
    </row>
    <row r="187" spans="1:14" x14ac:dyDescent="0.25">
      <c r="A187" s="254"/>
      <c r="B187" s="254"/>
      <c r="E187" s="2194"/>
      <c r="F187" s="2194"/>
      <c r="G187" s="2194"/>
      <c r="H187" s="2194"/>
      <c r="I187" s="2194"/>
      <c r="J187" s="2194"/>
      <c r="K187" s="2194"/>
      <c r="L187" s="2194"/>
      <c r="M187" s="2194"/>
    </row>
    <row r="188" spans="1:14" x14ac:dyDescent="0.25">
      <c r="A188" s="254"/>
      <c r="B188" s="254"/>
      <c r="E188" s="2194"/>
      <c r="F188" s="2194"/>
      <c r="G188" s="2194"/>
      <c r="H188" s="2194"/>
      <c r="I188" s="2194"/>
      <c r="J188" s="2194"/>
      <c r="K188" s="2194"/>
      <c r="L188" s="2194"/>
      <c r="M188" s="2194"/>
    </row>
    <row r="189" spans="1:14" x14ac:dyDescent="0.25">
      <c r="A189" s="254"/>
      <c r="B189" s="254"/>
      <c r="E189" s="2194"/>
      <c r="F189" s="2194"/>
      <c r="G189" s="2194"/>
      <c r="H189" s="2194"/>
      <c r="I189" s="2194"/>
      <c r="J189" s="2194"/>
      <c r="K189" s="2194"/>
      <c r="L189" s="2194"/>
      <c r="M189" s="2194"/>
    </row>
    <row r="190" spans="1:14" x14ac:dyDescent="0.25">
      <c r="A190" s="254"/>
      <c r="B190" s="254"/>
      <c r="E190" s="2194"/>
      <c r="F190" s="2194"/>
      <c r="G190" s="2194"/>
      <c r="H190" s="2194"/>
      <c r="I190" s="2194"/>
      <c r="J190" s="2194"/>
      <c r="K190" s="2194"/>
      <c r="L190" s="2194"/>
      <c r="M190" s="2194"/>
    </row>
    <row r="191" spans="1:14" x14ac:dyDescent="0.25">
      <c r="A191" s="254"/>
      <c r="B191" s="254"/>
      <c r="E191" s="2194"/>
      <c r="F191" s="2194"/>
      <c r="G191" s="2194"/>
      <c r="H191" s="2194"/>
      <c r="I191" s="2194"/>
      <c r="J191" s="2194"/>
      <c r="K191" s="2194"/>
      <c r="L191" s="2194"/>
      <c r="M191" s="2194"/>
    </row>
    <row r="192" spans="1:14" x14ac:dyDescent="0.25">
      <c r="A192" s="254"/>
      <c r="B192" s="254"/>
      <c r="E192" s="2194"/>
      <c r="F192" s="2194"/>
      <c r="G192" s="2194"/>
      <c r="H192" s="2194"/>
      <c r="I192" s="2194"/>
      <c r="J192" s="2194"/>
      <c r="K192" s="2194"/>
      <c r="L192" s="2194"/>
      <c r="M192" s="2194"/>
    </row>
    <row r="193" spans="1:13" x14ac:dyDescent="0.25">
      <c r="A193" s="254"/>
      <c r="B193" s="254"/>
      <c r="E193" s="2194"/>
      <c r="F193" s="2194"/>
      <c r="G193" s="2194"/>
      <c r="H193" s="2194"/>
      <c r="I193" s="2194"/>
      <c r="J193" s="2194"/>
      <c r="K193" s="2194"/>
      <c r="L193" s="2194"/>
      <c r="M193" s="2194"/>
    </row>
    <row r="194" spans="1:13" x14ac:dyDescent="0.25">
      <c r="A194" s="254"/>
      <c r="B194" s="254"/>
      <c r="E194" s="2194"/>
      <c r="F194" s="2194"/>
      <c r="G194" s="2194"/>
      <c r="H194" s="2194"/>
      <c r="I194" s="2194"/>
      <c r="J194" s="2194"/>
      <c r="K194" s="2194"/>
      <c r="L194" s="2194"/>
      <c r="M194" s="2194"/>
    </row>
    <row r="195" spans="1:13" x14ac:dyDescent="0.25">
      <c r="A195" s="254"/>
      <c r="B195" s="254"/>
    </row>
    <row r="196" spans="1:13" x14ac:dyDescent="0.25">
      <c r="A196" s="254"/>
      <c r="B196" s="254"/>
    </row>
    <row r="197" spans="1:13" x14ac:dyDescent="0.25">
      <c r="A197" s="254"/>
      <c r="B197" s="254"/>
    </row>
    <row r="198" spans="1:13" x14ac:dyDescent="0.25">
      <c r="A198" s="254"/>
      <c r="B198" s="254"/>
    </row>
    <row r="199" spans="1:13" x14ac:dyDescent="0.25">
      <c r="A199" s="254"/>
      <c r="B199" s="254"/>
    </row>
    <row r="200" spans="1:13" x14ac:dyDescent="0.25">
      <c r="A200" s="254"/>
      <c r="B200" s="254"/>
    </row>
    <row r="201" spans="1:13" x14ac:dyDescent="0.25">
      <c r="A201" s="254"/>
      <c r="B201" s="254"/>
    </row>
    <row r="202" spans="1:13" x14ac:dyDescent="0.25">
      <c r="A202" s="254"/>
      <c r="B202" s="254"/>
    </row>
    <row r="203" spans="1:13" x14ac:dyDescent="0.25">
      <c r="A203" s="254"/>
      <c r="B203" s="254"/>
    </row>
    <row r="204" spans="1:13" x14ac:dyDescent="0.25">
      <c r="A204" s="254"/>
      <c r="B204" s="254"/>
    </row>
    <row r="205" spans="1:13" x14ac:dyDescent="0.25">
      <c r="A205" s="254"/>
      <c r="B205" s="254"/>
    </row>
    <row r="206" spans="1:13" x14ac:dyDescent="0.25">
      <c r="A206" s="254"/>
      <c r="B206" s="254"/>
    </row>
    <row r="207" spans="1:13" x14ac:dyDescent="0.25">
      <c r="A207" s="254"/>
      <c r="B207" s="254"/>
    </row>
    <row r="208" spans="1:13" x14ac:dyDescent="0.25">
      <c r="A208" s="254"/>
      <c r="B208" s="254"/>
    </row>
    <row r="209" spans="1:2" x14ac:dyDescent="0.25">
      <c r="A209" s="254"/>
      <c r="B209" s="254"/>
    </row>
    <row r="210" spans="1:2" x14ac:dyDescent="0.25">
      <c r="A210" s="254"/>
      <c r="B210" s="254"/>
    </row>
    <row r="211" spans="1:2" x14ac:dyDescent="0.25">
      <c r="A211" s="254"/>
      <c r="B211" s="254"/>
    </row>
    <row r="212" spans="1:2" x14ac:dyDescent="0.25">
      <c r="A212" s="254"/>
      <c r="B212" s="254"/>
    </row>
    <row r="213" spans="1:2" x14ac:dyDescent="0.25">
      <c r="A213" s="254"/>
      <c r="B213" s="254"/>
    </row>
    <row r="214" spans="1:2" x14ac:dyDescent="0.25">
      <c r="A214" s="254"/>
      <c r="B214" s="254"/>
    </row>
    <row r="215" spans="1:2" x14ac:dyDescent="0.25">
      <c r="A215" s="254"/>
      <c r="B215" s="254"/>
    </row>
    <row r="216" spans="1:2" x14ac:dyDescent="0.25">
      <c r="A216" s="254"/>
      <c r="B216" s="254"/>
    </row>
    <row r="217" spans="1:2" x14ac:dyDescent="0.25">
      <c r="A217" s="254"/>
      <c r="B217" s="254"/>
    </row>
    <row r="218" spans="1:2" x14ac:dyDescent="0.25">
      <c r="A218" s="254"/>
      <c r="B218" s="254"/>
    </row>
    <row r="219" spans="1:2" x14ac:dyDescent="0.25">
      <c r="A219" s="254"/>
      <c r="B219" s="254"/>
    </row>
    <row r="220" spans="1:2" x14ac:dyDescent="0.25">
      <c r="A220" s="254"/>
      <c r="B220" s="254"/>
    </row>
    <row r="221" spans="1:2" x14ac:dyDescent="0.25">
      <c r="A221" s="254"/>
      <c r="B221" s="254"/>
    </row>
    <row r="222" spans="1:2" x14ac:dyDescent="0.25">
      <c r="A222" s="254"/>
      <c r="B222" s="254"/>
    </row>
    <row r="223" spans="1:2" x14ac:dyDescent="0.25">
      <c r="A223" s="254"/>
      <c r="B223" s="254"/>
    </row>
    <row r="224" spans="1:2" x14ac:dyDescent="0.25">
      <c r="A224" s="254"/>
      <c r="B224" s="254"/>
    </row>
    <row r="225" spans="1:2" x14ac:dyDescent="0.25">
      <c r="A225" s="254"/>
      <c r="B225" s="254"/>
    </row>
    <row r="226" spans="1:2" x14ac:dyDescent="0.25">
      <c r="A226" s="254"/>
      <c r="B226" s="254"/>
    </row>
    <row r="227" spans="1:2" x14ac:dyDescent="0.25">
      <c r="A227" s="254"/>
      <c r="B227" s="254"/>
    </row>
    <row r="228" spans="1:2" x14ac:dyDescent="0.25">
      <c r="A228" s="254"/>
      <c r="B228" s="254"/>
    </row>
    <row r="229" spans="1:2" x14ac:dyDescent="0.25">
      <c r="A229" s="254"/>
      <c r="B229" s="254"/>
    </row>
    <row r="230" spans="1:2" x14ac:dyDescent="0.25">
      <c r="A230" s="254"/>
      <c r="B230" s="254"/>
    </row>
    <row r="231" spans="1:2" x14ac:dyDescent="0.25">
      <c r="A231" s="254"/>
      <c r="B231" s="254"/>
    </row>
    <row r="232" spans="1:2" x14ac:dyDescent="0.25">
      <c r="A232" s="254"/>
      <c r="B232" s="254"/>
    </row>
    <row r="233" spans="1:2" x14ac:dyDescent="0.25">
      <c r="A233" s="254"/>
      <c r="B233" s="254"/>
    </row>
    <row r="234" spans="1:2" x14ac:dyDescent="0.25">
      <c r="A234" s="254"/>
      <c r="B234" s="254"/>
    </row>
    <row r="235" spans="1:2" x14ac:dyDescent="0.25">
      <c r="A235" s="254"/>
      <c r="B235" s="254"/>
    </row>
    <row r="236" spans="1:2" x14ac:dyDescent="0.25">
      <c r="A236" s="254"/>
      <c r="B236" s="254"/>
    </row>
    <row r="237" spans="1:2" x14ac:dyDescent="0.25">
      <c r="A237" s="254"/>
      <c r="B237" s="254"/>
    </row>
    <row r="238" spans="1:2" x14ac:dyDescent="0.25">
      <c r="A238" s="254"/>
      <c r="B238" s="254"/>
    </row>
    <row r="239" spans="1:2" x14ac:dyDescent="0.25">
      <c r="A239" s="254"/>
      <c r="B239" s="254"/>
    </row>
    <row r="240" spans="1:2" x14ac:dyDescent="0.25">
      <c r="A240" s="254"/>
      <c r="B240" s="254"/>
    </row>
    <row r="241" spans="1:2" x14ac:dyDescent="0.25">
      <c r="A241" s="254"/>
      <c r="B241" s="254"/>
    </row>
    <row r="242" spans="1:2" x14ac:dyDescent="0.25">
      <c r="A242" s="254"/>
      <c r="B242" s="254"/>
    </row>
    <row r="243" spans="1:2" x14ac:dyDescent="0.25">
      <c r="A243" s="254"/>
      <c r="B243" s="254"/>
    </row>
    <row r="244" spans="1:2" x14ac:dyDescent="0.25">
      <c r="A244" s="254"/>
      <c r="B244" s="254"/>
    </row>
    <row r="245" spans="1:2" x14ac:dyDescent="0.25">
      <c r="A245" s="254"/>
      <c r="B245" s="254"/>
    </row>
    <row r="246" spans="1:2" x14ac:dyDescent="0.25">
      <c r="A246" s="254"/>
      <c r="B246" s="254"/>
    </row>
    <row r="247" spans="1:2" x14ac:dyDescent="0.25">
      <c r="A247" s="254"/>
      <c r="B247" s="254"/>
    </row>
    <row r="248" spans="1:2" x14ac:dyDescent="0.25">
      <c r="A248" s="254"/>
      <c r="B248" s="254"/>
    </row>
    <row r="249" spans="1:2" x14ac:dyDescent="0.25">
      <c r="A249" s="254"/>
      <c r="B249" s="254"/>
    </row>
    <row r="250" spans="1:2" x14ac:dyDescent="0.25">
      <c r="A250" s="254"/>
      <c r="B250" s="254"/>
    </row>
    <row r="251" spans="1:2" x14ac:dyDescent="0.25">
      <c r="A251" s="254"/>
      <c r="B251" s="254"/>
    </row>
    <row r="252" spans="1:2" x14ac:dyDescent="0.25">
      <c r="A252" s="254"/>
      <c r="B252" s="254"/>
    </row>
    <row r="253" spans="1:2" x14ac:dyDescent="0.25">
      <c r="A253" s="254"/>
      <c r="B253" s="254"/>
    </row>
    <row r="254" spans="1:2" x14ac:dyDescent="0.25">
      <c r="A254" s="254"/>
      <c r="B254" s="254"/>
    </row>
    <row r="255" spans="1:2" x14ac:dyDescent="0.25">
      <c r="A255" s="254"/>
      <c r="B255" s="254"/>
    </row>
    <row r="256" spans="1:2" x14ac:dyDescent="0.25">
      <c r="A256" s="254"/>
      <c r="B256" s="254"/>
    </row>
    <row r="257" spans="1:2" x14ac:dyDescent="0.25">
      <c r="A257" s="254"/>
      <c r="B257" s="254"/>
    </row>
    <row r="258" spans="1:2" x14ac:dyDescent="0.25">
      <c r="A258" s="254"/>
      <c r="B258" s="254"/>
    </row>
    <row r="259" spans="1:2" x14ac:dyDescent="0.25">
      <c r="A259" s="254"/>
      <c r="B259" s="254"/>
    </row>
    <row r="260" spans="1:2" x14ac:dyDescent="0.25">
      <c r="A260" s="254"/>
      <c r="B260" s="254"/>
    </row>
    <row r="261" spans="1:2" x14ac:dyDescent="0.25">
      <c r="A261" s="254"/>
      <c r="B261" s="254"/>
    </row>
    <row r="262" spans="1:2" x14ac:dyDescent="0.25">
      <c r="A262" s="254"/>
      <c r="B262" s="254"/>
    </row>
    <row r="263" spans="1:2" x14ac:dyDescent="0.25">
      <c r="A263" s="254"/>
      <c r="B263" s="254"/>
    </row>
    <row r="264" spans="1:2" x14ac:dyDescent="0.25">
      <c r="A264" s="254"/>
      <c r="B264" s="254"/>
    </row>
    <row r="265" spans="1:2" x14ac:dyDescent="0.25">
      <c r="A265" s="254"/>
      <c r="B265" s="254"/>
    </row>
    <row r="266" spans="1:2" x14ac:dyDescent="0.25">
      <c r="A266" s="254"/>
      <c r="B266" s="254"/>
    </row>
    <row r="267" spans="1:2" x14ac:dyDescent="0.25">
      <c r="A267" s="254"/>
      <c r="B267" s="254"/>
    </row>
    <row r="268" spans="1:2" x14ac:dyDescent="0.25">
      <c r="A268" s="254"/>
      <c r="B268" s="254"/>
    </row>
    <row r="269" spans="1:2" x14ac:dyDescent="0.25">
      <c r="A269" s="254"/>
      <c r="B269" s="254"/>
    </row>
    <row r="270" spans="1:2" x14ac:dyDescent="0.25">
      <c r="A270" s="254"/>
      <c r="B270" s="254"/>
    </row>
    <row r="271" spans="1:2" x14ac:dyDescent="0.25">
      <c r="A271" s="254"/>
      <c r="B271" s="254"/>
    </row>
    <row r="272" spans="1:2" x14ac:dyDescent="0.25">
      <c r="A272" s="254"/>
      <c r="B272" s="254"/>
    </row>
    <row r="273" spans="1:2" x14ac:dyDescent="0.25">
      <c r="A273" s="254"/>
      <c r="B273" s="254"/>
    </row>
    <row r="274" spans="1:2" x14ac:dyDescent="0.25">
      <c r="A274" s="254"/>
      <c r="B274" s="254"/>
    </row>
    <row r="275" spans="1:2" x14ac:dyDescent="0.25">
      <c r="A275" s="254"/>
      <c r="B275" s="254"/>
    </row>
    <row r="441" ht="11.25" customHeight="1" x14ac:dyDescent="0.25"/>
  </sheetData>
  <customSheetViews>
    <customSheetView guid="{7F222B88-8DE7-4209-9261-78C075D2F561}" scale="95" showPageBreaks="1" view="pageBreakPreview" showRuler="0">
      <pane ySplit="2" topLeftCell="A3" activePane="bottomLeft" state="frozen"/>
      <selection pane="bottomLeft" activeCell="E12" sqref="E12:E48"/>
      <pageMargins left="0.74803149606299213" right="0.62992125984251968" top="0.70866141732283472" bottom="0.70866141732283472" header="0.51181102362204722" footer="0.51181102362204722"/>
      <pageSetup paperSize="9" scale="59" orientation="portrait" r:id="rId1"/>
      <headerFooter alignWithMargins="0">
        <oddFooter>&amp;C&amp;"Arial Narrow,Regular"Page &amp;P of &amp;N</oddFooter>
      </headerFooter>
    </customSheetView>
  </customSheetViews>
  <mergeCells count="37">
    <mergeCell ref="O51:T53"/>
    <mergeCell ref="E158:M158"/>
    <mergeCell ref="E156:M156"/>
    <mergeCell ref="E54:M54"/>
    <mergeCell ref="E51:L51"/>
    <mergeCell ref="E103:L103"/>
    <mergeCell ref="K56:K59"/>
    <mergeCell ref="F1:M1"/>
    <mergeCell ref="F2:M2"/>
    <mergeCell ref="E157:M157"/>
    <mergeCell ref="E114:M114"/>
    <mergeCell ref="E115:M115"/>
    <mergeCell ref="E116:M116"/>
    <mergeCell ref="E110:M110"/>
    <mergeCell ref="E113:M113"/>
    <mergeCell ref="E112:M112"/>
    <mergeCell ref="E106:M106"/>
    <mergeCell ref="E193:M193"/>
    <mergeCell ref="E194:M194"/>
    <mergeCell ref="E186:M186"/>
    <mergeCell ref="E187:M187"/>
    <mergeCell ref="E188:M188"/>
    <mergeCell ref="E189:M189"/>
    <mergeCell ref="E191:M191"/>
    <mergeCell ref="E192:M192"/>
    <mergeCell ref="E190:M190"/>
    <mergeCell ref="E171:M171"/>
    <mergeCell ref="E172:M172"/>
    <mergeCell ref="E173:M173"/>
    <mergeCell ref="E174:M174"/>
    <mergeCell ref="E175:M175"/>
    <mergeCell ref="E181:M181"/>
    <mergeCell ref="E182:M182"/>
    <mergeCell ref="E183:M183"/>
    <mergeCell ref="E180:M180"/>
    <mergeCell ref="E177:M177"/>
    <mergeCell ref="E178:M178"/>
  </mergeCells>
  <phoneticPr fontId="17" type="noConversion"/>
  <hyperlinks>
    <hyperlink ref="G59" location="'Note 24 (cont)'!A67" display="Acquisition of assets" xr:uid="{00000000-0004-0000-0F00-000000000000}"/>
    <hyperlink ref="H59" location="'Note 24 (cont)'!A62" display="'Note 24 (cont)'!A62" xr:uid="{00000000-0004-0000-0F00-000001000000}"/>
    <hyperlink ref="E129" location="'Notes to Financial Report'!A470" display="Plant and Equipment" xr:uid="{00000000-0004-0000-0F00-000002000000}"/>
    <hyperlink ref="G7" location="'Note 24 (cont)'!A67" display="Acquisition of assets" xr:uid="{00000000-0004-0000-0F00-000003000000}"/>
    <hyperlink ref="H7" location="'Note 24 (cont)'!A62" display="'Note 24 (cont)'!A62" xr:uid="{00000000-0004-0000-0F00-000004000000}"/>
  </hyperlinks>
  <pageMargins left="0.31496062992125984" right="0.31496062992125984" top="0.35433070866141736" bottom="0.35433070866141736" header="0.11811023622047245" footer="0.11811023622047245"/>
  <pageSetup paperSize="9" orientation="portrait" r:id="rId2"/>
  <headerFooter>
    <oddFooter>&amp;R&amp;P</oddFooter>
  </headerFooter>
  <rowBreaks count="3" manualBreakCount="3">
    <brk id="54" max="16383" man="1"/>
    <brk id="106" min="2" max="14" man="1"/>
    <brk id="152" min="2"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FF00"/>
  </sheetPr>
  <dimension ref="A1:AC436"/>
  <sheetViews>
    <sheetView showGridLines="0" view="pageBreakPreview" zoomScaleNormal="100" zoomScaleSheetLayoutView="100" workbookViewId="0"/>
  </sheetViews>
  <sheetFormatPr defaultColWidth="9" defaultRowHeight="14.4" x14ac:dyDescent="0.25"/>
  <cols>
    <col min="1" max="1" width="9.69921875" style="3" bestFit="1" customWidth="1"/>
    <col min="2" max="2" width="7.5" style="3" customWidth="1"/>
    <col min="3" max="3" width="4" style="955" customWidth="1"/>
    <col min="4" max="4" width="3.59765625" style="966" customWidth="1"/>
    <col min="5" max="5" width="3" style="1304" customWidth="1"/>
    <col min="6" max="6" width="21.5" style="963" customWidth="1"/>
    <col min="7" max="7" width="2.3984375" style="1023" customWidth="1"/>
    <col min="8" max="8" width="7" style="1023" customWidth="1"/>
    <col min="9" max="9" width="5.5" style="1023" customWidth="1"/>
    <col min="10" max="10" width="1.19921875" style="1023" customWidth="1"/>
    <col min="11" max="11" width="7" style="1254" customWidth="1"/>
    <col min="12" max="12" width="1.19921875" style="1023" customWidth="1"/>
    <col min="13" max="13" width="7" style="1023" customWidth="1"/>
    <col min="14" max="14" width="1.3984375" style="1023" customWidth="1"/>
    <col min="15" max="15" width="7.5" style="1023" customWidth="1"/>
    <col min="16" max="16" width="2.19921875" style="955" customWidth="1"/>
    <col min="17" max="17" width="6.3984375" style="1342" customWidth="1"/>
    <col min="18" max="18" width="1.19921875" style="1297" customWidth="1"/>
    <col min="19" max="19" width="7" style="1342" customWidth="1"/>
    <col min="20" max="20" width="9" style="3"/>
    <col min="21" max="21" width="12" style="3" customWidth="1"/>
    <col min="22" max="16384" width="9" style="3"/>
  </cols>
  <sheetData>
    <row r="1" spans="1:19" ht="18" x14ac:dyDescent="0.25">
      <c r="A1" s="145" t="s">
        <v>206</v>
      </c>
      <c r="B1" s="145"/>
      <c r="C1" s="50" t="str">
        <f>IF('Merge Details_Printing instr'!$B$11="Insert details here",'Merge Details_Printing instr'!$A$11,'Merge Details_Printing instr'!$B$11)</f>
        <v>Council Name</v>
      </c>
      <c r="D1" s="52"/>
      <c r="E1" s="36"/>
      <c r="F1" s="525"/>
      <c r="H1" s="2014" t="s">
        <v>303</v>
      </c>
      <c r="I1" s="2014"/>
      <c r="J1" s="2014"/>
      <c r="K1" s="2014"/>
      <c r="L1" s="2014"/>
      <c r="M1" s="2014"/>
      <c r="N1" s="2014"/>
      <c r="O1" s="2014"/>
      <c r="P1" s="2014"/>
      <c r="Q1" s="2014"/>
      <c r="R1" s="2014"/>
      <c r="S1" s="2014"/>
    </row>
    <row r="2" spans="1:19" s="19" customFormat="1" ht="16.5" customHeight="1" x14ac:dyDescent="0.25">
      <c r="A2" s="145" t="s">
        <v>696</v>
      </c>
      <c r="B2" s="145" t="s">
        <v>207</v>
      </c>
      <c r="C2" s="100" t="str">
        <f>+'Merge Details_Printing instr'!A12</f>
        <v>2023-2024 Financial Report</v>
      </c>
      <c r="D2" s="532"/>
      <c r="E2" s="1823"/>
      <c r="F2" s="276"/>
      <c r="G2" s="533" t="str">
        <f>'Merge Details_Printing instr'!$A$14</f>
        <v>For the Year Ended 30 June 2024</v>
      </c>
      <c r="H2" s="163"/>
      <c r="I2" s="163"/>
      <c r="J2" s="163"/>
      <c r="K2" s="163"/>
      <c r="L2" s="163"/>
      <c r="M2" s="163"/>
      <c r="N2" s="163"/>
      <c r="O2" s="163"/>
      <c r="P2" s="163"/>
      <c r="Q2" s="163"/>
      <c r="R2" s="163"/>
      <c r="S2" s="163"/>
    </row>
    <row r="3" spans="1:19" ht="16.5" customHeight="1" x14ac:dyDescent="0.25">
      <c r="A3" s="145"/>
      <c r="B3" s="145"/>
      <c r="Q3" s="958">
        <f>+'Merge Details_Printing instr'!A19</f>
        <v>2024</v>
      </c>
      <c r="R3" s="1255"/>
      <c r="S3" s="958">
        <f>+'Merge Details_Printing instr'!A20</f>
        <v>2023</v>
      </c>
    </row>
    <row r="4" spans="1:19" ht="16.5" customHeight="1" x14ac:dyDescent="0.25">
      <c r="A4" s="243"/>
      <c r="B4" s="145"/>
      <c r="D4" s="955"/>
      <c r="F4" s="955"/>
      <c r="Q4" s="958" t="str">
        <f>+'Merge Details_Printing instr'!A24</f>
        <v>$'000</v>
      </c>
      <c r="R4" s="1256"/>
      <c r="S4" s="958" t="str">
        <f>+'Merge Details_Printing instr'!A24</f>
        <v>$'000</v>
      </c>
    </row>
    <row r="5" spans="1:19" s="246" customFormat="1" x14ac:dyDescent="0.25">
      <c r="A5" s="254"/>
      <c r="B5" s="145"/>
      <c r="C5" s="955"/>
      <c r="D5" s="960" t="s">
        <v>286</v>
      </c>
      <c r="E5" s="1328">
        <f>'Note 6'!F5+0.1</f>
        <v>6.1999999999999993</v>
      </c>
      <c r="F5" s="989" t="s">
        <v>319</v>
      </c>
      <c r="G5" s="1023"/>
      <c r="H5" s="1023"/>
      <c r="I5" s="1023"/>
      <c r="J5" s="1023"/>
      <c r="K5" s="1254"/>
      <c r="L5" s="1023"/>
      <c r="M5" s="1023"/>
      <c r="N5" s="1023"/>
      <c r="O5" s="1023"/>
      <c r="P5" s="955"/>
      <c r="Q5" s="958"/>
      <c r="R5" s="1256"/>
      <c r="S5" s="958"/>
    </row>
    <row r="6" spans="1:19" ht="16.5" customHeight="1" x14ac:dyDescent="0.25">
      <c r="A6" s="241">
        <v>140</v>
      </c>
      <c r="B6" s="241" t="s">
        <v>228</v>
      </c>
      <c r="F6" s="986" t="s">
        <v>320</v>
      </c>
      <c r="Q6" s="1257">
        <v>10000</v>
      </c>
      <c r="R6" s="1258"/>
      <c r="S6" s="1257">
        <v>10000</v>
      </c>
    </row>
    <row r="7" spans="1:19" ht="16.2" customHeight="1" x14ac:dyDescent="0.25">
      <c r="A7" s="242"/>
      <c r="B7" s="242"/>
      <c r="F7" s="986" t="s">
        <v>321</v>
      </c>
      <c r="Q7" s="1257">
        <v>2000</v>
      </c>
      <c r="R7" s="1258"/>
      <c r="S7" s="1257">
        <v>0</v>
      </c>
    </row>
    <row r="8" spans="1:19" ht="16.5" customHeight="1" x14ac:dyDescent="0.25">
      <c r="A8" s="242"/>
      <c r="B8" s="242"/>
      <c r="F8" s="986" t="s">
        <v>322</v>
      </c>
      <c r="Q8" s="1257">
        <v>-5000</v>
      </c>
      <c r="R8" s="1258"/>
      <c r="S8" s="1257">
        <v>0</v>
      </c>
    </row>
    <row r="9" spans="1:19" ht="16.5" customHeight="1" x14ac:dyDescent="0.25">
      <c r="A9" s="242"/>
      <c r="B9" s="242"/>
      <c r="F9" s="986" t="s">
        <v>137</v>
      </c>
      <c r="Q9" s="1257">
        <v>1000</v>
      </c>
      <c r="R9" s="1258"/>
      <c r="S9" s="1257">
        <v>0</v>
      </c>
    </row>
    <row r="10" spans="1:19" ht="16.5" customHeight="1" x14ac:dyDescent="0.25">
      <c r="A10" s="242"/>
      <c r="B10" s="242"/>
      <c r="F10" s="989" t="s">
        <v>347</v>
      </c>
      <c r="Q10" s="984">
        <f>SUM(Q6:Q9)</f>
        <v>8000</v>
      </c>
      <c r="R10" s="1258"/>
      <c r="S10" s="984">
        <f>SUM(S6:S9)</f>
        <v>10000</v>
      </c>
    </row>
    <row r="11" spans="1:19" ht="6" customHeight="1" x14ac:dyDescent="0.25">
      <c r="A11" s="242"/>
      <c r="B11" s="242"/>
      <c r="Q11" s="981"/>
      <c r="R11" s="1258"/>
      <c r="S11" s="981"/>
    </row>
    <row r="12" spans="1:19" ht="33" customHeight="1" x14ac:dyDescent="0.25">
      <c r="A12" s="241">
        <v>140</v>
      </c>
      <c r="B12" s="241" t="s">
        <v>813</v>
      </c>
      <c r="F12" s="2147" t="s">
        <v>1867</v>
      </c>
      <c r="G12" s="2147"/>
      <c r="H12" s="2147"/>
      <c r="I12" s="2147"/>
      <c r="J12" s="2147"/>
      <c r="K12" s="2147"/>
      <c r="L12" s="2147"/>
      <c r="M12" s="2147"/>
      <c r="N12" s="2147"/>
      <c r="O12" s="2147"/>
      <c r="P12" s="2147"/>
      <c r="Q12" s="2147"/>
      <c r="R12" s="2147"/>
      <c r="S12" s="2147"/>
    </row>
    <row r="13" spans="1:19" s="246" customFormat="1" ht="6.75" customHeight="1" thickBot="1" x14ac:dyDescent="0.3">
      <c r="A13" s="256"/>
      <c r="B13" s="256"/>
      <c r="C13" s="955"/>
      <c r="D13" s="966"/>
      <c r="E13" s="1304"/>
      <c r="F13" s="963"/>
      <c r="G13" s="1201"/>
      <c r="H13" s="1201"/>
      <c r="I13" s="1201"/>
      <c r="J13" s="1201"/>
      <c r="K13" s="1201"/>
      <c r="L13" s="1201"/>
      <c r="M13" s="1201"/>
      <c r="N13" s="1201"/>
      <c r="O13" s="1201"/>
      <c r="P13" s="955"/>
      <c r="Q13" s="981"/>
      <c r="R13" s="1258"/>
      <c r="S13" s="981"/>
    </row>
    <row r="14" spans="1:19" s="246" customFormat="1" x14ac:dyDescent="0.25">
      <c r="A14" s="256"/>
      <c r="B14" s="256"/>
      <c r="C14" s="955"/>
      <c r="D14" s="966"/>
      <c r="E14" s="1304"/>
      <c r="F14" s="1067" t="s">
        <v>1133</v>
      </c>
      <c r="G14" s="1068"/>
      <c r="H14" s="1068"/>
      <c r="I14" s="1068"/>
      <c r="J14" s="1068"/>
      <c r="K14" s="1068"/>
      <c r="L14" s="1068"/>
      <c r="M14" s="1068"/>
      <c r="N14" s="1068"/>
      <c r="O14" s="1068"/>
      <c r="P14" s="1068"/>
      <c r="Q14" s="1068"/>
      <c r="R14" s="1068"/>
      <c r="S14" s="1069"/>
    </row>
    <row r="15" spans="1:19" s="246" customFormat="1" ht="9.9" customHeight="1" x14ac:dyDescent="0.25">
      <c r="A15" s="256"/>
      <c r="B15" s="256"/>
      <c r="C15" s="955"/>
      <c r="D15" s="966"/>
      <c r="E15" s="1304"/>
      <c r="F15" s="1259"/>
      <c r="G15" s="1260"/>
      <c r="H15" s="1260"/>
      <c r="I15" s="1260"/>
      <c r="J15" s="1260"/>
      <c r="K15" s="1260"/>
      <c r="L15" s="1260"/>
      <c r="M15" s="1260"/>
      <c r="N15" s="1260"/>
      <c r="O15" s="1260"/>
      <c r="P15" s="1260"/>
      <c r="Q15" s="1260"/>
      <c r="R15" s="1260"/>
      <c r="S15" s="1261"/>
    </row>
    <row r="16" spans="1:19" s="246" customFormat="1" x14ac:dyDescent="0.25">
      <c r="A16" s="256"/>
      <c r="B16" s="256"/>
      <c r="C16" s="955"/>
      <c r="D16" s="966"/>
      <c r="E16" s="1304"/>
      <c r="F16" s="1259" t="s">
        <v>1148</v>
      </c>
      <c r="G16" s="1260"/>
      <c r="H16" s="1260"/>
      <c r="I16" s="1260"/>
      <c r="J16" s="1260"/>
      <c r="K16" s="1260"/>
      <c r="L16" s="1260"/>
      <c r="M16" s="1260"/>
      <c r="N16" s="1260"/>
      <c r="O16" s="1260"/>
      <c r="P16" s="1260"/>
      <c r="Q16" s="1260"/>
      <c r="R16" s="1260"/>
      <c r="S16" s="1261"/>
    </row>
    <row r="17" spans="1:21" s="246" customFormat="1" ht="87" customHeight="1" thickBot="1" x14ac:dyDescent="0.3">
      <c r="B17" s="256">
        <v>140</v>
      </c>
      <c r="C17" s="955"/>
      <c r="D17" s="966"/>
      <c r="E17" s="1304"/>
      <c r="F17" s="2141" t="s">
        <v>1783</v>
      </c>
      <c r="G17" s="2142"/>
      <c r="H17" s="2142"/>
      <c r="I17" s="2142"/>
      <c r="J17" s="2142"/>
      <c r="K17" s="2142"/>
      <c r="L17" s="2142"/>
      <c r="M17" s="2142"/>
      <c r="N17" s="2142"/>
      <c r="O17" s="2142"/>
      <c r="P17" s="2142"/>
      <c r="Q17" s="2142"/>
      <c r="R17" s="2142"/>
      <c r="S17" s="2143"/>
      <c r="T17" s="355"/>
      <c r="U17" s="299"/>
    </row>
    <row r="18" spans="1:21" ht="12" customHeight="1" x14ac:dyDescent="0.25">
      <c r="A18" s="242"/>
      <c r="B18" s="242"/>
      <c r="G18" s="1254"/>
      <c r="H18" s="1254"/>
      <c r="I18" s="1254"/>
      <c r="J18" s="1254"/>
      <c r="L18" s="1254"/>
      <c r="M18" s="1254"/>
      <c r="N18" s="1254"/>
      <c r="O18" s="1254"/>
      <c r="P18" s="952"/>
      <c r="Q18" s="1005"/>
      <c r="R18" s="1258"/>
      <c r="S18" s="1005"/>
    </row>
    <row r="19" spans="1:21" x14ac:dyDescent="0.25">
      <c r="A19" s="243" t="s">
        <v>55</v>
      </c>
      <c r="B19" s="242"/>
      <c r="D19" s="960" t="s">
        <v>286</v>
      </c>
      <c r="E19" s="1328">
        <f>E5+0.1</f>
        <v>6.2999999999999989</v>
      </c>
      <c r="F19" s="989" t="s">
        <v>653</v>
      </c>
      <c r="J19" s="1039"/>
      <c r="L19" s="1039"/>
      <c r="Q19" s="1005"/>
      <c r="R19" s="1258"/>
      <c r="S19" s="1005"/>
    </row>
    <row r="20" spans="1:21" ht="16.5" customHeight="1" x14ac:dyDescent="0.25">
      <c r="A20" s="241">
        <v>138</v>
      </c>
      <c r="B20" s="241">
        <v>118</v>
      </c>
      <c r="F20" s="986" t="s">
        <v>328</v>
      </c>
      <c r="Q20" s="1262">
        <v>0</v>
      </c>
      <c r="R20" s="1258"/>
      <c r="S20" s="1262">
        <v>0</v>
      </c>
    </row>
    <row r="21" spans="1:21" ht="16.5" customHeight="1" x14ac:dyDescent="0.25">
      <c r="A21" s="242"/>
      <c r="B21" s="242"/>
      <c r="F21" s="986" t="s">
        <v>649</v>
      </c>
      <c r="Q21" s="1262">
        <v>0</v>
      </c>
      <c r="R21" s="1258"/>
      <c r="S21" s="1262">
        <v>0</v>
      </c>
    </row>
    <row r="22" spans="1:21" ht="16.5" customHeight="1" x14ac:dyDescent="0.25">
      <c r="A22" s="242"/>
      <c r="B22" s="242"/>
      <c r="F22" s="986" t="s">
        <v>284</v>
      </c>
      <c r="Q22" s="1262">
        <v>0</v>
      </c>
      <c r="R22" s="1258"/>
      <c r="S22" s="1262">
        <v>0</v>
      </c>
    </row>
    <row r="23" spans="1:21" ht="16.5" customHeight="1" x14ac:dyDescent="0.25">
      <c r="A23" s="242"/>
      <c r="B23" s="242"/>
      <c r="F23" s="1035" t="s">
        <v>738</v>
      </c>
      <c r="Q23" s="1263">
        <v>0</v>
      </c>
      <c r="R23" s="1258"/>
      <c r="S23" s="1263">
        <v>0</v>
      </c>
    </row>
    <row r="24" spans="1:21" ht="16.5" customHeight="1" x14ac:dyDescent="0.25">
      <c r="A24" s="242"/>
      <c r="B24" s="242"/>
      <c r="F24" s="989" t="s">
        <v>405</v>
      </c>
      <c r="Q24" s="1024">
        <f>SUM(Q20:Q23)</f>
        <v>0</v>
      </c>
      <c r="R24" s="1258"/>
      <c r="S24" s="1024">
        <f>SUM(S20:S23)</f>
        <v>0</v>
      </c>
    </row>
    <row r="25" spans="1:21" x14ac:dyDescent="0.25">
      <c r="A25" s="242"/>
      <c r="B25" s="242"/>
      <c r="F25" s="986"/>
      <c r="Q25" s="1264"/>
      <c r="R25" s="1256"/>
      <c r="S25" s="1264"/>
    </row>
    <row r="26" spans="1:21" ht="13.5" customHeight="1" x14ac:dyDescent="0.25">
      <c r="A26" s="242"/>
      <c r="B26" s="242"/>
      <c r="F26" s="956" t="s">
        <v>739</v>
      </c>
      <c r="K26" s="1265" t="s">
        <v>95</v>
      </c>
      <c r="L26" s="1266"/>
      <c r="M26" s="1267" t="s">
        <v>97</v>
      </c>
      <c r="N26" s="1266"/>
      <c r="O26" s="1267" t="s">
        <v>96</v>
      </c>
      <c r="P26" s="1165"/>
      <c r="Q26" s="1268" t="s">
        <v>102</v>
      </c>
      <c r="R26" s="1256"/>
      <c r="S26" s="1268" t="s">
        <v>103</v>
      </c>
      <c r="T26" s="16"/>
    </row>
    <row r="27" spans="1:21" ht="13.5" customHeight="1" x14ac:dyDescent="0.25">
      <c r="A27" s="242"/>
      <c r="B27" s="242"/>
      <c r="K27" s="1269"/>
      <c r="L27" s="1266"/>
      <c r="M27" s="1267" t="s">
        <v>117</v>
      </c>
      <c r="N27" s="1266"/>
      <c r="O27" s="2237" t="s">
        <v>111</v>
      </c>
      <c r="P27" s="2237"/>
      <c r="Q27" s="1270"/>
      <c r="R27" s="1256"/>
      <c r="S27" s="1270"/>
    </row>
    <row r="28" spans="1:21" ht="12.75" customHeight="1" x14ac:dyDescent="0.25">
      <c r="A28" s="242"/>
      <c r="B28" s="242"/>
      <c r="K28" s="1269"/>
      <c r="L28" s="1266"/>
      <c r="M28" s="1267" t="s">
        <v>650</v>
      </c>
      <c r="N28" s="1266"/>
      <c r="O28" s="1267" t="s">
        <v>112</v>
      </c>
      <c r="P28" s="1165"/>
      <c r="Q28" s="1270"/>
      <c r="R28" s="1256"/>
      <c r="S28" s="1270"/>
    </row>
    <row r="29" spans="1:21" ht="16.5" customHeight="1" x14ac:dyDescent="0.25">
      <c r="A29" s="242"/>
      <c r="B29" s="242"/>
      <c r="K29" s="958" t="str">
        <f>'Merge Details_Printing instr'!A24</f>
        <v>$'000</v>
      </c>
      <c r="M29" s="958" t="str">
        <f>'Merge Details_Printing instr'!A24</f>
        <v>$'000</v>
      </c>
      <c r="O29" s="1271" t="str">
        <f>'Merge Details_Printing instr'!A24</f>
        <v>$'000</v>
      </c>
      <c r="Q29" s="958" t="str">
        <f>'Merge Details_Printing instr'!A24</f>
        <v>$'000</v>
      </c>
      <c r="R29" s="1256"/>
      <c r="S29" s="958" t="str">
        <f>'Merge Details_Printing instr'!A24</f>
        <v>$'000</v>
      </c>
    </row>
    <row r="30" spans="1:21" x14ac:dyDescent="0.25">
      <c r="A30" s="241">
        <v>138</v>
      </c>
      <c r="B30" s="241" t="s">
        <v>1197</v>
      </c>
      <c r="F30" s="989" t="s">
        <v>113</v>
      </c>
      <c r="Q30" s="1264"/>
      <c r="R30" s="1256"/>
      <c r="S30" s="1264"/>
    </row>
    <row r="31" spans="1:21" ht="16.5" customHeight="1" x14ac:dyDescent="0.25">
      <c r="A31" s="242"/>
      <c r="B31" s="256" t="s">
        <v>1198</v>
      </c>
      <c r="F31" s="986" t="str">
        <f>"Balance at 1 July "&amp;'Merge Details_Printing instr'!A21</f>
        <v>Balance at 1 July 2022</v>
      </c>
      <c r="K31" s="1166">
        <v>0</v>
      </c>
      <c r="L31" s="1117"/>
      <c r="M31" s="1117">
        <v>0</v>
      </c>
      <c r="N31" s="1117"/>
      <c r="O31" s="1117">
        <v>0</v>
      </c>
      <c r="P31" s="982"/>
      <c r="Q31" s="983">
        <v>0</v>
      </c>
      <c r="R31" s="1272"/>
      <c r="S31" s="983">
        <v>0</v>
      </c>
    </row>
    <row r="32" spans="1:21" ht="16.5" customHeight="1" x14ac:dyDescent="0.25">
      <c r="A32" s="242"/>
      <c r="B32" s="242"/>
      <c r="F32" s="986" t="s">
        <v>114</v>
      </c>
      <c r="K32" s="1166">
        <v>0</v>
      </c>
      <c r="L32" s="1117"/>
      <c r="M32" s="1117">
        <v>0</v>
      </c>
      <c r="N32" s="1117"/>
      <c r="O32" s="1117">
        <v>0</v>
      </c>
      <c r="P32" s="982"/>
      <c r="Q32" s="983">
        <v>0</v>
      </c>
      <c r="R32" s="1272"/>
      <c r="S32" s="983">
        <v>0</v>
      </c>
    </row>
    <row r="33" spans="1:19" ht="16.5" customHeight="1" x14ac:dyDescent="0.25">
      <c r="A33" s="242"/>
      <c r="B33" s="242"/>
      <c r="F33" s="986" t="s">
        <v>102</v>
      </c>
      <c r="K33" s="1273">
        <v>0</v>
      </c>
      <c r="L33" s="1117"/>
      <c r="M33" s="1273">
        <v>0</v>
      </c>
      <c r="N33" s="1117"/>
      <c r="O33" s="1273">
        <v>0</v>
      </c>
      <c r="P33" s="982"/>
      <c r="Q33" s="1263">
        <v>0</v>
      </c>
      <c r="R33" s="1272"/>
      <c r="S33" s="1263">
        <v>0</v>
      </c>
    </row>
    <row r="34" spans="1:19" ht="16.5" customHeight="1" x14ac:dyDescent="0.25">
      <c r="A34" s="242"/>
      <c r="B34" s="242"/>
      <c r="F34" s="986" t="str">
        <f>"Balance at 30 June "&amp;'Merge Details_Printing instr'!A20</f>
        <v>Balance at 30 June 2023</v>
      </c>
      <c r="K34" s="1166">
        <f>SUM(K31:K33)</f>
        <v>0</v>
      </c>
      <c r="L34" s="1117"/>
      <c r="M34" s="1166">
        <f>SUM(M31:M33)</f>
        <v>0</v>
      </c>
      <c r="N34" s="1117"/>
      <c r="O34" s="1166">
        <f>SUM(O31:O33)</f>
        <v>0</v>
      </c>
      <c r="P34" s="982"/>
      <c r="Q34" s="1166">
        <f>SUM(Q31:Q33)</f>
        <v>0</v>
      </c>
      <c r="R34" s="1272"/>
      <c r="S34" s="1166">
        <f>SUM(S31:S33)</f>
        <v>0</v>
      </c>
    </row>
    <row r="35" spans="1:19" ht="16.5" customHeight="1" x14ac:dyDescent="0.25">
      <c r="A35" s="242"/>
      <c r="B35" s="242"/>
      <c r="F35" s="986" t="s">
        <v>114</v>
      </c>
      <c r="K35" s="1166">
        <v>0</v>
      </c>
      <c r="L35" s="1117"/>
      <c r="M35" s="1117">
        <v>0</v>
      </c>
      <c r="N35" s="1117"/>
      <c r="O35" s="1117">
        <v>0</v>
      </c>
      <c r="P35" s="982"/>
      <c r="Q35" s="983">
        <v>0</v>
      </c>
      <c r="R35" s="1272"/>
      <c r="S35" s="983">
        <v>0</v>
      </c>
    </row>
    <row r="36" spans="1:19" ht="16.5" customHeight="1" x14ac:dyDescent="0.25">
      <c r="A36" s="242"/>
      <c r="B36" s="242"/>
      <c r="F36" s="986" t="s">
        <v>102</v>
      </c>
      <c r="K36" s="1166">
        <v>0</v>
      </c>
      <c r="L36" s="1117"/>
      <c r="M36" s="1117">
        <v>0</v>
      </c>
      <c r="N36" s="1117"/>
      <c r="O36" s="1117">
        <v>0</v>
      </c>
      <c r="P36" s="982"/>
      <c r="Q36" s="983">
        <v>0</v>
      </c>
      <c r="R36" s="1272"/>
      <c r="S36" s="983">
        <v>0</v>
      </c>
    </row>
    <row r="37" spans="1:19" ht="16.5" customHeight="1" x14ac:dyDescent="0.25">
      <c r="A37" s="242"/>
      <c r="B37" s="242"/>
      <c r="F37" s="986" t="str">
        <f>"Balance at 30 June "&amp;'Merge Details_Printing instr'!A19</f>
        <v>Balance at 30 June 2024</v>
      </c>
      <c r="K37" s="1274">
        <f>SUM(K34:K36)</f>
        <v>0</v>
      </c>
      <c r="L37" s="1275"/>
      <c r="M37" s="1274">
        <f>SUM(M34:M36)</f>
        <v>0</v>
      </c>
      <c r="N37" s="1275"/>
      <c r="O37" s="1274">
        <f>SUM(O34:O36)</f>
        <v>0</v>
      </c>
      <c r="P37" s="1208"/>
      <c r="Q37" s="1274">
        <f>SUM(Q34:Q36)</f>
        <v>0</v>
      </c>
      <c r="R37" s="1272"/>
      <c r="S37" s="1274">
        <f>SUM(S34:S36)</f>
        <v>0</v>
      </c>
    </row>
    <row r="38" spans="1:19" ht="7.5" customHeight="1" x14ac:dyDescent="0.25">
      <c r="A38" s="242"/>
      <c r="B38" s="242"/>
      <c r="F38" s="986"/>
      <c r="K38" s="1166"/>
      <c r="L38" s="1117"/>
      <c r="M38" s="1117"/>
      <c r="N38" s="1117"/>
      <c r="O38" s="1117"/>
      <c r="P38" s="982"/>
      <c r="Q38" s="983"/>
      <c r="R38" s="1272"/>
      <c r="S38" s="983"/>
    </row>
    <row r="39" spans="1:19" ht="16.5" customHeight="1" x14ac:dyDescent="0.25">
      <c r="A39" s="242"/>
      <c r="B39" s="242"/>
      <c r="F39" s="989" t="s">
        <v>115</v>
      </c>
      <c r="K39" s="1166"/>
      <c r="L39" s="1117"/>
      <c r="M39" s="1117"/>
      <c r="N39" s="1117"/>
      <c r="O39" s="1117"/>
      <c r="P39" s="982"/>
      <c r="Q39" s="983"/>
      <c r="R39" s="1272"/>
      <c r="S39" s="983"/>
    </row>
    <row r="40" spans="1:19" ht="16.5" customHeight="1" x14ac:dyDescent="0.25">
      <c r="A40" s="242"/>
      <c r="B40" s="242"/>
      <c r="F40" s="986" t="str">
        <f>F31</f>
        <v>Balance at 1 July 2022</v>
      </c>
      <c r="K40" s="1166">
        <v>0</v>
      </c>
      <c r="L40" s="1117"/>
      <c r="M40" s="1117">
        <v>0</v>
      </c>
      <c r="N40" s="1117"/>
      <c r="O40" s="1117">
        <v>0</v>
      </c>
      <c r="P40" s="982"/>
      <c r="Q40" s="983">
        <v>0</v>
      </c>
      <c r="R40" s="1272"/>
      <c r="S40" s="983">
        <v>0</v>
      </c>
    </row>
    <row r="41" spans="1:19" ht="16.5" customHeight="1" x14ac:dyDescent="0.25">
      <c r="A41" s="242"/>
      <c r="B41" s="242"/>
      <c r="F41" s="986" t="s">
        <v>116</v>
      </c>
      <c r="K41" s="1273">
        <v>0</v>
      </c>
      <c r="L41" s="1117"/>
      <c r="M41" s="1273">
        <v>0</v>
      </c>
      <c r="N41" s="1117"/>
      <c r="O41" s="1273">
        <v>0</v>
      </c>
      <c r="P41" s="982"/>
      <c r="Q41" s="1263">
        <v>0</v>
      </c>
      <c r="R41" s="1272"/>
      <c r="S41" s="1263">
        <v>0</v>
      </c>
    </row>
    <row r="42" spans="1:19" ht="16.5" customHeight="1" x14ac:dyDescent="0.25">
      <c r="A42" s="242"/>
      <c r="B42" s="242"/>
      <c r="F42" s="986" t="str">
        <f>F34</f>
        <v>Balance at 30 June 2023</v>
      </c>
      <c r="K42" s="1166">
        <f>SUM(K40:K41)</f>
        <v>0</v>
      </c>
      <c r="L42" s="1117"/>
      <c r="M42" s="1166">
        <f>SUM(M40:M41)</f>
        <v>0</v>
      </c>
      <c r="N42" s="1117"/>
      <c r="O42" s="1166">
        <f>SUM(O40:O41)</f>
        <v>0</v>
      </c>
      <c r="P42" s="982"/>
      <c r="Q42" s="1166">
        <f>SUM(Q40:Q41)</f>
        <v>0</v>
      </c>
      <c r="R42" s="1272"/>
      <c r="S42" s="1166">
        <f>SUM(S40:S41)</f>
        <v>0</v>
      </c>
    </row>
    <row r="43" spans="1:19" ht="16.5" customHeight="1" x14ac:dyDescent="0.25">
      <c r="A43" s="242"/>
      <c r="B43" s="242"/>
      <c r="F43" s="986" t="s">
        <v>116</v>
      </c>
      <c r="K43" s="1166">
        <v>0</v>
      </c>
      <c r="L43" s="1117"/>
      <c r="M43" s="1117">
        <v>0</v>
      </c>
      <c r="N43" s="1117"/>
      <c r="O43" s="1117">
        <v>0</v>
      </c>
      <c r="P43" s="982"/>
      <c r="Q43" s="983">
        <v>0</v>
      </c>
      <c r="R43" s="1272"/>
      <c r="S43" s="983">
        <v>0</v>
      </c>
    </row>
    <row r="44" spans="1:19" ht="16.5" customHeight="1" x14ac:dyDescent="0.25">
      <c r="A44" s="242"/>
      <c r="B44" s="242"/>
      <c r="F44" s="986" t="str">
        <f>F37</f>
        <v>Balance at 30 June 2024</v>
      </c>
      <c r="K44" s="1274">
        <f>SUM(K42:K43)</f>
        <v>0</v>
      </c>
      <c r="L44" s="1275"/>
      <c r="M44" s="1274">
        <f>SUM(M42:M43)</f>
        <v>0</v>
      </c>
      <c r="N44" s="1275"/>
      <c r="O44" s="1274">
        <f>SUM(O42:O43)</f>
        <v>0</v>
      </c>
      <c r="P44" s="1208"/>
      <c r="Q44" s="1274">
        <f>SUM(Q42:Q43)</f>
        <v>0</v>
      </c>
      <c r="R44" s="1272"/>
      <c r="S44" s="1274">
        <f>SUM(S42:S43)</f>
        <v>0</v>
      </c>
    </row>
    <row r="45" spans="1:19" ht="7.5" customHeight="1" x14ac:dyDescent="0.25">
      <c r="A45" s="242"/>
      <c r="B45" s="242"/>
      <c r="F45" s="986"/>
      <c r="K45" s="1166"/>
      <c r="L45" s="1117"/>
      <c r="M45" s="1117"/>
      <c r="N45" s="1117"/>
      <c r="O45" s="1117"/>
      <c r="P45" s="982"/>
      <c r="Q45" s="983"/>
      <c r="R45" s="983">
        <f>SUM(R21:R24)</f>
        <v>0</v>
      </c>
      <c r="S45" s="983"/>
    </row>
    <row r="46" spans="1:19" ht="16.5" customHeight="1" x14ac:dyDescent="0.25">
      <c r="A46" s="242"/>
      <c r="B46" s="242"/>
      <c r="F46" s="986" t="str">
        <f>"Net book value at 30 June "&amp;'Merge Details_Printing instr'!A20</f>
        <v>Net book value at 30 June 2023</v>
      </c>
      <c r="J46" s="1039"/>
      <c r="K46" s="1166">
        <f>K34-K42</f>
        <v>0</v>
      </c>
      <c r="L46" s="1275"/>
      <c r="M46" s="1166">
        <f>M34-M42</f>
        <v>0</v>
      </c>
      <c r="N46" s="1117"/>
      <c r="O46" s="1166">
        <f>O34-O42</f>
        <v>0</v>
      </c>
      <c r="P46" s="982"/>
      <c r="Q46" s="1166">
        <f>Q34-Q42</f>
        <v>0</v>
      </c>
      <c r="R46" s="1272"/>
      <c r="S46" s="1166">
        <f>S34-S42</f>
        <v>0</v>
      </c>
    </row>
    <row r="47" spans="1:19" ht="16.5" customHeight="1" x14ac:dyDescent="0.25">
      <c r="A47" s="242"/>
      <c r="B47" s="242"/>
      <c r="F47" s="986" t="str">
        <f>"Net book value at 30 June "&amp;'Merge Details_Printing instr'!A19</f>
        <v>Net book value at 30 June 2024</v>
      </c>
      <c r="K47" s="1274">
        <f>K37-K44</f>
        <v>0</v>
      </c>
      <c r="L47" s="1275"/>
      <c r="M47" s="1274">
        <f>M37-M44</f>
        <v>0</v>
      </c>
      <c r="N47" s="1275"/>
      <c r="O47" s="1274">
        <f>O37-O44</f>
        <v>0</v>
      </c>
      <c r="P47" s="1208"/>
      <c r="Q47" s="1274">
        <f>Q37-Q44</f>
        <v>0</v>
      </c>
      <c r="R47" s="1272"/>
      <c r="S47" s="1274">
        <f>S37-S44</f>
        <v>0</v>
      </c>
    </row>
    <row r="48" spans="1:19" ht="7.5" customHeight="1" thickBot="1" x14ac:dyDescent="0.3">
      <c r="A48" s="242"/>
      <c r="B48" s="242"/>
      <c r="Q48" s="958"/>
      <c r="R48" s="1256"/>
      <c r="S48" s="958"/>
    </row>
    <row r="49" spans="1:23" s="246" customFormat="1" x14ac:dyDescent="0.25">
      <c r="A49" s="256"/>
      <c r="B49" s="256"/>
      <c r="C49" s="955"/>
      <c r="D49" s="966"/>
      <c r="E49" s="1304"/>
      <c r="F49" s="1067" t="s">
        <v>1133</v>
      </c>
      <c r="G49" s="1068"/>
      <c r="H49" s="1068"/>
      <c r="I49" s="1068"/>
      <c r="J49" s="1068"/>
      <c r="K49" s="1068"/>
      <c r="L49" s="1068"/>
      <c r="M49" s="1068"/>
      <c r="N49" s="1068"/>
      <c r="O49" s="1068"/>
      <c r="P49" s="1068"/>
      <c r="Q49" s="1068"/>
      <c r="R49" s="1068"/>
      <c r="S49" s="1069"/>
    </row>
    <row r="50" spans="1:23" s="246" customFormat="1" ht="9.9" customHeight="1" x14ac:dyDescent="0.25">
      <c r="A50" s="256"/>
      <c r="B50" s="256"/>
      <c r="C50" s="955"/>
      <c r="D50" s="966"/>
      <c r="E50" s="1304"/>
      <c r="F50" s="1259"/>
      <c r="G50" s="1260"/>
      <c r="H50" s="1260"/>
      <c r="I50" s="1260"/>
      <c r="J50" s="1260"/>
      <c r="K50" s="1260"/>
      <c r="L50" s="1260"/>
      <c r="M50" s="1260"/>
      <c r="N50" s="1260"/>
      <c r="O50" s="1260"/>
      <c r="P50" s="1260"/>
      <c r="Q50" s="1260"/>
      <c r="R50" s="1260"/>
      <c r="S50" s="1261"/>
    </row>
    <row r="51" spans="1:23" s="246" customFormat="1" x14ac:dyDescent="0.25">
      <c r="A51" s="256"/>
      <c r="B51" s="256"/>
      <c r="C51" s="955"/>
      <c r="D51" s="966"/>
      <c r="E51" s="1304"/>
      <c r="F51" s="1259" t="s">
        <v>700</v>
      </c>
      <c r="G51" s="1260"/>
      <c r="H51" s="1260"/>
      <c r="I51" s="1260"/>
      <c r="J51" s="1260"/>
      <c r="K51" s="1260"/>
      <c r="L51" s="1260"/>
      <c r="M51" s="1260"/>
      <c r="N51" s="1260"/>
      <c r="O51" s="1260"/>
      <c r="P51" s="1260"/>
      <c r="Q51" s="1260"/>
      <c r="R51" s="1260"/>
      <c r="S51" s="1261"/>
    </row>
    <row r="52" spans="1:23" s="246" customFormat="1" ht="70.5" customHeight="1" x14ac:dyDescent="0.25">
      <c r="A52" s="256"/>
      <c r="B52" s="256"/>
      <c r="C52" s="955"/>
      <c r="D52" s="966"/>
      <c r="E52" s="1304"/>
      <c r="F52" s="2132" t="s">
        <v>1169</v>
      </c>
      <c r="G52" s="2133"/>
      <c r="H52" s="2133"/>
      <c r="I52" s="2133"/>
      <c r="J52" s="2133"/>
      <c r="K52" s="2133"/>
      <c r="L52" s="2133"/>
      <c r="M52" s="2133"/>
      <c r="N52" s="2133"/>
      <c r="O52" s="2133"/>
      <c r="P52" s="2133"/>
      <c r="Q52" s="2133"/>
      <c r="R52" s="2133"/>
      <c r="S52" s="2134"/>
      <c r="U52" s="299"/>
    </row>
    <row r="53" spans="1:23" s="246" customFormat="1" ht="33" customHeight="1" x14ac:dyDescent="0.25">
      <c r="A53" s="670"/>
      <c r="B53" s="670"/>
      <c r="C53" s="955"/>
      <c r="D53" s="966"/>
      <c r="E53" s="1304"/>
      <c r="F53" s="2239" t="s">
        <v>1868</v>
      </c>
      <c r="G53" s="2240"/>
      <c r="H53" s="2240"/>
      <c r="I53" s="2240"/>
      <c r="J53" s="2240"/>
      <c r="K53" s="2240"/>
      <c r="L53" s="2240"/>
      <c r="M53" s="2240"/>
      <c r="N53" s="2240"/>
      <c r="O53" s="2240"/>
      <c r="P53" s="2240"/>
      <c r="Q53" s="2240"/>
      <c r="R53" s="2240"/>
      <c r="S53" s="2241"/>
      <c r="T53" s="307"/>
      <c r="U53" s="299"/>
    </row>
    <row r="54" spans="1:23" s="246" customFormat="1" ht="7.5" customHeight="1" x14ac:dyDescent="0.25">
      <c r="A54" s="670"/>
      <c r="B54" s="670"/>
      <c r="C54" s="955"/>
      <c r="D54" s="966"/>
      <c r="E54" s="1304"/>
      <c r="F54" s="1186"/>
      <c r="G54" s="1187"/>
      <c r="H54" s="1187"/>
      <c r="I54" s="1187"/>
      <c r="J54" s="1187"/>
      <c r="K54" s="1187"/>
      <c r="L54" s="1187"/>
      <c r="M54" s="1187"/>
      <c r="N54" s="1187"/>
      <c r="O54" s="1187"/>
      <c r="P54" s="1187"/>
      <c r="Q54" s="1187"/>
      <c r="R54" s="1187"/>
      <c r="S54" s="1188"/>
      <c r="U54" s="299"/>
    </row>
    <row r="55" spans="1:23" s="246" customFormat="1" x14ac:dyDescent="0.25">
      <c r="A55" s="256"/>
      <c r="B55" s="256"/>
      <c r="C55" s="955"/>
      <c r="D55" s="966"/>
      <c r="E55" s="1304"/>
      <c r="F55" s="1090" t="s">
        <v>1170</v>
      </c>
      <c r="G55" s="1091"/>
      <c r="H55" s="1091"/>
      <c r="I55" s="1091"/>
      <c r="J55" s="1091"/>
      <c r="K55" s="1091"/>
      <c r="L55" s="1091"/>
      <c r="M55" s="1091"/>
      <c r="N55" s="1091"/>
      <c r="O55" s="1091"/>
      <c r="P55" s="1091"/>
      <c r="Q55" s="1091"/>
      <c r="R55" s="1091"/>
      <c r="S55" s="1092"/>
      <c r="U55" s="299"/>
    </row>
    <row r="56" spans="1:23" s="246" customFormat="1" x14ac:dyDescent="0.25">
      <c r="A56" s="256"/>
      <c r="B56" s="256"/>
      <c r="C56" s="955"/>
      <c r="D56" s="966"/>
      <c r="E56" s="1304"/>
      <c r="F56" s="1090" t="s">
        <v>328</v>
      </c>
      <c r="G56" s="1091"/>
      <c r="H56" s="1091"/>
      <c r="I56" s="1091"/>
      <c r="J56" s="1091"/>
      <c r="K56" s="1091"/>
      <c r="L56" s="1091"/>
      <c r="M56" s="1111" t="s">
        <v>1171</v>
      </c>
      <c r="N56" s="1091"/>
      <c r="O56" s="1091"/>
      <c r="P56" s="1091"/>
      <c r="Q56" s="1091"/>
      <c r="R56" s="1091"/>
      <c r="S56" s="1092"/>
      <c r="T56" s="307" t="s">
        <v>1172</v>
      </c>
      <c r="U56" s="299"/>
    </row>
    <row r="57" spans="1:23" s="246" customFormat="1" x14ac:dyDescent="0.25">
      <c r="A57" s="256"/>
      <c r="B57" s="256"/>
      <c r="C57" s="955"/>
      <c r="D57" s="966"/>
      <c r="E57" s="1304"/>
      <c r="F57" s="1090" t="s">
        <v>649</v>
      </c>
      <c r="G57" s="1091"/>
      <c r="H57" s="1091"/>
      <c r="I57" s="1091"/>
      <c r="J57" s="1091"/>
      <c r="K57" s="1091"/>
      <c r="L57" s="1091"/>
      <c r="M57" s="1111" t="s">
        <v>1171</v>
      </c>
      <c r="N57" s="1091"/>
      <c r="O57" s="1091"/>
      <c r="P57" s="1091"/>
      <c r="Q57" s="1091"/>
      <c r="R57" s="1091"/>
      <c r="S57" s="1092"/>
      <c r="U57" s="299"/>
    </row>
    <row r="58" spans="1:23" s="246" customFormat="1" ht="15.75" customHeight="1" thickBot="1" x14ac:dyDescent="0.3">
      <c r="A58" s="256"/>
      <c r="B58" s="256"/>
      <c r="C58" s="955"/>
      <c r="D58" s="966"/>
      <c r="E58" s="1304"/>
      <c r="F58" s="1031" t="s">
        <v>284</v>
      </c>
      <c r="G58" s="1032"/>
      <c r="H58" s="1032"/>
      <c r="I58" s="1032"/>
      <c r="J58" s="1032"/>
      <c r="K58" s="1032"/>
      <c r="L58" s="1032"/>
      <c r="M58" s="1276" t="s">
        <v>1171</v>
      </c>
      <c r="N58" s="1032"/>
      <c r="O58" s="1032"/>
      <c r="P58" s="1032"/>
      <c r="Q58" s="1032"/>
      <c r="R58" s="1032"/>
      <c r="S58" s="1033"/>
      <c r="U58" s="299"/>
    </row>
    <row r="59" spans="1:23" s="246" customFormat="1" ht="10.5" customHeight="1" x14ac:dyDescent="0.25">
      <c r="A59" s="256"/>
      <c r="B59" s="256"/>
      <c r="C59" s="955"/>
      <c r="D59" s="966"/>
      <c r="E59" s="1304"/>
      <c r="F59" s="955"/>
      <c r="G59" s="1277"/>
      <c r="H59" s="1277"/>
      <c r="I59" s="1277"/>
      <c r="J59" s="1277"/>
      <c r="K59" s="1277"/>
      <c r="L59" s="1277"/>
      <c r="M59" s="1277"/>
      <c r="N59" s="1277"/>
      <c r="O59" s="1277"/>
      <c r="P59" s="1277"/>
      <c r="Q59" s="1277"/>
      <c r="R59" s="1277"/>
      <c r="S59" s="1277"/>
    </row>
    <row r="60" spans="1:23" s="246" customFormat="1" x14ac:dyDescent="0.25">
      <c r="A60" s="626"/>
      <c r="B60" s="626"/>
      <c r="C60" s="955"/>
      <c r="D60" s="960" t="s">
        <v>286</v>
      </c>
      <c r="E60" s="1328">
        <f>E19+0.1</f>
        <v>6.3999999999999986</v>
      </c>
      <c r="F60" s="956" t="s">
        <v>1450</v>
      </c>
      <c r="G60" s="1277"/>
      <c r="H60" s="1277"/>
      <c r="I60" s="1277"/>
      <c r="J60" s="1277"/>
      <c r="K60" s="1277"/>
      <c r="L60" s="1277"/>
      <c r="M60" s="1277"/>
      <c r="N60" s="1277"/>
      <c r="O60" s="1277"/>
      <c r="P60" s="1277"/>
      <c r="Q60" s="1277"/>
      <c r="R60" s="1277"/>
      <c r="S60" s="1277"/>
    </row>
    <row r="61" spans="1:23" s="246" customFormat="1" x14ac:dyDescent="0.25">
      <c r="A61" s="626"/>
      <c r="B61" s="626"/>
      <c r="C61" s="955"/>
      <c r="D61" s="966"/>
      <c r="E61" s="1202" t="s">
        <v>1495</v>
      </c>
      <c r="F61" s="963"/>
      <c r="G61" s="1277"/>
      <c r="I61" s="1277"/>
      <c r="J61" s="1277"/>
      <c r="K61" s="1277"/>
      <c r="L61" s="1277"/>
      <c r="M61" s="1277"/>
      <c r="N61" s="1277"/>
      <c r="O61" s="1277"/>
      <c r="P61" s="1277"/>
      <c r="Q61" s="1277"/>
      <c r="R61" s="1277"/>
      <c r="S61" s="1277"/>
    </row>
    <row r="62" spans="1:23" s="246" customFormat="1" ht="54" customHeight="1" x14ac:dyDescent="0.25">
      <c r="A62" s="626"/>
      <c r="B62" s="626"/>
      <c r="C62" s="955"/>
      <c r="D62" s="966"/>
      <c r="E62" s="1304"/>
      <c r="F62" s="963"/>
      <c r="G62" s="1277"/>
      <c r="H62" s="1277"/>
      <c r="I62" s="1277"/>
      <c r="J62" s="1277"/>
      <c r="K62" s="1265" t="s">
        <v>452</v>
      </c>
      <c r="L62" s="1266"/>
      <c r="M62" s="2207" t="s">
        <v>120</v>
      </c>
      <c r="N62" s="2207"/>
      <c r="O62" s="2207" t="s">
        <v>94</v>
      </c>
      <c r="P62" s="2207"/>
      <c r="Q62" s="1278" t="s">
        <v>102</v>
      </c>
      <c r="R62" s="1256"/>
      <c r="S62" s="1268" t="s">
        <v>103</v>
      </c>
      <c r="V62" s="629"/>
      <c r="W62" s="629"/>
    </row>
    <row r="63" spans="1:23" s="246" customFormat="1" x14ac:dyDescent="0.25">
      <c r="A63" s="626">
        <v>16</v>
      </c>
      <c r="B63" s="626" t="s">
        <v>1459</v>
      </c>
      <c r="C63" s="955"/>
      <c r="D63" s="966"/>
      <c r="E63" s="1304"/>
      <c r="F63" s="1279">
        <f>'Merge Details_Printing instr'!A19</f>
        <v>2024</v>
      </c>
      <c r="G63" s="1277"/>
      <c r="H63" s="1277"/>
      <c r="I63" s="1277"/>
      <c r="J63" s="1277"/>
      <c r="K63" s="958" t="str">
        <f>'Merge Details_Printing instr'!A24</f>
        <v>$'000</v>
      </c>
      <c r="L63" s="1023"/>
      <c r="M63" s="958" t="str">
        <f>'Merge Details_Printing instr'!A24</f>
        <v>$'000</v>
      </c>
      <c r="N63" s="1023"/>
      <c r="O63" s="1271" t="str">
        <f>'Merge Details_Printing instr'!A24</f>
        <v>$'000</v>
      </c>
      <c r="P63" s="955"/>
      <c r="Q63" s="958" t="str">
        <f>'Merge Details_Printing instr'!A24</f>
        <v>$'000</v>
      </c>
      <c r="R63" s="1256"/>
      <c r="S63" s="958" t="str">
        <f>'Merge Details_Printing instr'!A24</f>
        <v>$'000</v>
      </c>
    </row>
    <row r="64" spans="1:23" s="246" customFormat="1" ht="16.5" customHeight="1" x14ac:dyDescent="0.25">
      <c r="A64" s="255"/>
      <c r="B64" s="626" t="s">
        <v>1460</v>
      </c>
      <c r="C64" s="955"/>
      <c r="D64" s="966"/>
      <c r="E64" s="1304"/>
      <c r="F64" s="989" t="str">
        <f>"Opening Balance at 1 July "&amp;'Merge Details_Printing instr'!A20</f>
        <v>Opening Balance at 1 July 2023</v>
      </c>
      <c r="G64" s="1023"/>
      <c r="H64" s="1023"/>
      <c r="I64" s="1023"/>
      <c r="J64" s="1023"/>
      <c r="K64" s="1166">
        <v>22000</v>
      </c>
      <c r="L64" s="1117"/>
      <c r="M64" s="1117">
        <v>19000</v>
      </c>
      <c r="N64" s="1117"/>
      <c r="O64" s="1117">
        <v>0</v>
      </c>
      <c r="P64" s="1117"/>
      <c r="Q64" s="1117">
        <v>0</v>
      </c>
      <c r="R64" s="1272"/>
      <c r="S64" s="983">
        <f>SUM(K64:Q64)</f>
        <v>41000</v>
      </c>
    </row>
    <row r="65" spans="1:29" s="246" customFormat="1" ht="16.5" customHeight="1" x14ac:dyDescent="0.25">
      <c r="A65" s="255"/>
      <c r="B65" s="1846"/>
      <c r="C65" s="955"/>
      <c r="D65" s="966"/>
      <c r="E65" s="1304"/>
      <c r="F65" s="1321" t="s">
        <v>1458</v>
      </c>
      <c r="G65" s="1847"/>
      <c r="H65" s="1847"/>
      <c r="I65" s="1847"/>
      <c r="J65" s="1847"/>
      <c r="K65" s="1166">
        <v>0</v>
      </c>
      <c r="L65" s="1117"/>
      <c r="M65" s="1117">
        <v>0</v>
      </c>
      <c r="N65" s="1117"/>
      <c r="O65" s="1117">
        <v>0</v>
      </c>
      <c r="P65" s="1117"/>
      <c r="Q65" s="1117">
        <v>0</v>
      </c>
      <c r="R65" s="1272"/>
      <c r="S65" s="983">
        <f>SUM(K65:Q65)</f>
        <v>0</v>
      </c>
    </row>
    <row r="66" spans="1:29" s="246" customFormat="1" ht="16.5" customHeight="1" x14ac:dyDescent="0.25">
      <c r="A66" s="255"/>
      <c r="B66" s="255"/>
      <c r="C66" s="955"/>
      <c r="D66" s="966"/>
      <c r="E66" s="1304"/>
      <c r="F66" s="1321" t="s">
        <v>322</v>
      </c>
      <c r="G66" s="1023"/>
      <c r="H66" s="1023"/>
      <c r="I66" s="1023"/>
      <c r="J66" s="1023"/>
      <c r="K66" s="1166">
        <v>0</v>
      </c>
      <c r="L66" s="1117"/>
      <c r="M66" s="1117">
        <v>0</v>
      </c>
      <c r="N66" s="1117"/>
      <c r="O66" s="1117">
        <v>0</v>
      </c>
      <c r="P66" s="1117"/>
      <c r="Q66" s="1117">
        <v>0</v>
      </c>
      <c r="R66" s="1272"/>
      <c r="S66" s="983">
        <f>SUM(K66:Q66)</f>
        <v>0</v>
      </c>
    </row>
    <row r="67" spans="1:29" s="246" customFormat="1" ht="16.5" customHeight="1" x14ac:dyDescent="0.25">
      <c r="A67" s="255"/>
      <c r="B67" s="255"/>
      <c r="C67" s="955"/>
      <c r="D67" s="966"/>
      <c r="E67" s="1304"/>
      <c r="F67" s="986" t="s">
        <v>1620</v>
      </c>
      <c r="G67" s="1023"/>
      <c r="H67" s="1023"/>
      <c r="I67" s="1023"/>
      <c r="J67" s="1023"/>
      <c r="K67" s="1273">
        <v>-2000</v>
      </c>
      <c r="L67" s="1117"/>
      <c r="M67" s="1273">
        <v>-2000</v>
      </c>
      <c r="N67" s="1117"/>
      <c r="O67" s="1273">
        <v>0</v>
      </c>
      <c r="P67" s="1273"/>
      <c r="Q67" s="1273">
        <v>0</v>
      </c>
      <c r="R67" s="1272"/>
      <c r="S67" s="983">
        <f>SUM(K67:Q67)</f>
        <v>-4000</v>
      </c>
    </row>
    <row r="68" spans="1:29" s="246" customFormat="1" ht="16.5" customHeight="1" x14ac:dyDescent="0.25">
      <c r="A68" s="255"/>
      <c r="B68" s="255"/>
      <c r="C68" s="955"/>
      <c r="D68" s="966"/>
      <c r="E68" s="1304"/>
      <c r="F68" s="989" t="str">
        <f>"Balance at 30 June "&amp;'Merge Details_Printing instr'!A19</f>
        <v>Balance at 30 June 2024</v>
      </c>
      <c r="G68" s="1023"/>
      <c r="H68" s="1023"/>
      <c r="I68" s="1023"/>
      <c r="J68" s="1023"/>
      <c r="K68" s="1280">
        <f>SUM(K64:K67)</f>
        <v>20000</v>
      </c>
      <c r="L68" s="1117"/>
      <c r="M68" s="1280">
        <f>SUM(M64:M67)</f>
        <v>17000</v>
      </c>
      <c r="N68" s="1117"/>
      <c r="O68" s="1280">
        <f>SUM(O64:O67)</f>
        <v>0</v>
      </c>
      <c r="P68" s="982"/>
      <c r="Q68" s="1280">
        <f>SUM(Q64:Q67)</f>
        <v>0</v>
      </c>
      <c r="R68" s="1272"/>
      <c r="S68" s="1280">
        <f>SUM(S64:S67)</f>
        <v>37000</v>
      </c>
    </row>
    <row r="69" spans="1:29" s="246" customFormat="1" ht="7.5" customHeight="1" x14ac:dyDescent="0.25">
      <c r="A69" s="255"/>
      <c r="B69" s="255"/>
      <c r="C69" s="955"/>
      <c r="D69" s="966"/>
      <c r="E69" s="1304"/>
      <c r="F69" s="986"/>
      <c r="G69" s="1023"/>
      <c r="H69" s="1023"/>
      <c r="I69" s="1023"/>
      <c r="J69" s="1023"/>
      <c r="K69" s="1166"/>
      <c r="L69" s="1117"/>
      <c r="M69" s="1117"/>
      <c r="N69" s="1117"/>
      <c r="O69" s="1117"/>
      <c r="P69" s="982"/>
      <c r="Q69" s="983"/>
      <c r="R69" s="1272"/>
      <c r="S69" s="983"/>
    </row>
    <row r="70" spans="1:29" s="246" customFormat="1" ht="16.5" customHeight="1" x14ac:dyDescent="0.25">
      <c r="A70" s="255"/>
      <c r="B70" s="255"/>
      <c r="C70" s="955"/>
      <c r="D70" s="966"/>
      <c r="E70" s="1304"/>
      <c r="F70" s="1279">
        <f>'Merge Details_Printing instr'!A20</f>
        <v>2023</v>
      </c>
      <c r="G70" s="1023"/>
      <c r="H70" s="1023"/>
      <c r="I70" s="1023"/>
      <c r="J70" s="1023"/>
      <c r="K70" s="1166"/>
      <c r="L70" s="1117"/>
      <c r="M70" s="1117"/>
      <c r="N70" s="1117"/>
      <c r="O70" s="1117"/>
      <c r="P70" s="982"/>
      <c r="Q70" s="983"/>
      <c r="R70" s="1272"/>
      <c r="S70" s="983"/>
    </row>
    <row r="71" spans="1:29" s="246" customFormat="1" ht="16.5" customHeight="1" x14ac:dyDescent="0.25">
      <c r="A71" s="255"/>
      <c r="B71" s="255"/>
      <c r="C71" s="955"/>
      <c r="D71" s="966"/>
      <c r="E71" s="1304"/>
      <c r="F71" s="989" t="str">
        <f>"Opening Balance at 1 July "&amp;'Merge Details_Printing instr'!A21</f>
        <v>Opening Balance at 1 July 2022</v>
      </c>
      <c r="G71" s="1023"/>
      <c r="H71" s="1023"/>
      <c r="I71" s="1023"/>
      <c r="J71" s="1023"/>
      <c r="K71" s="1166">
        <f>K68</f>
        <v>20000</v>
      </c>
      <c r="L71" s="1117"/>
      <c r="M71" s="1117">
        <f>M68</f>
        <v>17000</v>
      </c>
      <c r="N71" s="1117"/>
      <c r="O71" s="1117">
        <f>O68</f>
        <v>0</v>
      </c>
      <c r="P71" s="1117"/>
      <c r="Q71" s="1117">
        <f>Q68</f>
        <v>0</v>
      </c>
      <c r="R71" s="1272"/>
      <c r="S71" s="983">
        <f>SUM(K71:Q71)</f>
        <v>37000</v>
      </c>
    </row>
    <row r="72" spans="1:29" s="246" customFormat="1" ht="16.5" customHeight="1" x14ac:dyDescent="0.25">
      <c r="A72" s="255"/>
      <c r="B72" s="255"/>
      <c r="C72" s="955"/>
      <c r="D72" s="966"/>
      <c r="E72" s="1304"/>
      <c r="F72" s="1321" t="s">
        <v>1458</v>
      </c>
      <c r="G72" s="1847"/>
      <c r="H72" s="1847"/>
      <c r="I72" s="1847"/>
      <c r="J72" s="1847"/>
      <c r="K72" s="1166">
        <v>0</v>
      </c>
      <c r="L72" s="1117"/>
      <c r="M72" s="1117">
        <v>0</v>
      </c>
      <c r="N72" s="1117"/>
      <c r="O72" s="1117">
        <v>0</v>
      </c>
      <c r="P72" s="1117"/>
      <c r="Q72" s="1117">
        <v>0</v>
      </c>
      <c r="R72" s="1272"/>
      <c r="S72" s="983">
        <f>SUM(K72:Q72)</f>
        <v>0</v>
      </c>
    </row>
    <row r="73" spans="1:29" s="246" customFormat="1" ht="16.5" customHeight="1" x14ac:dyDescent="0.25">
      <c r="A73" s="255"/>
      <c r="B73" s="255"/>
      <c r="C73" s="955"/>
      <c r="D73" s="966"/>
      <c r="E73" s="1304"/>
      <c r="F73" s="1321" t="s">
        <v>322</v>
      </c>
      <c r="G73" s="1023"/>
      <c r="H73" s="1023"/>
      <c r="I73" s="1023"/>
      <c r="J73" s="1023"/>
      <c r="K73" s="1166">
        <v>0</v>
      </c>
      <c r="L73" s="1117"/>
      <c r="M73" s="1117">
        <v>0</v>
      </c>
      <c r="N73" s="1117"/>
      <c r="O73" s="1117">
        <v>0</v>
      </c>
      <c r="P73" s="1117"/>
      <c r="Q73" s="1117">
        <v>0</v>
      </c>
      <c r="R73" s="1272"/>
      <c r="S73" s="983">
        <f>SUM(K73:Q73)</f>
        <v>0</v>
      </c>
    </row>
    <row r="74" spans="1:29" s="246" customFormat="1" ht="16.5" customHeight="1" x14ac:dyDescent="0.25">
      <c r="A74" s="255"/>
      <c r="B74" s="255"/>
      <c r="C74" s="955"/>
      <c r="D74" s="966"/>
      <c r="E74" s="1304"/>
      <c r="F74" s="1321" t="s">
        <v>1620</v>
      </c>
      <c r="G74" s="1023"/>
      <c r="H74" s="1023"/>
      <c r="I74" s="1023"/>
      <c r="J74" s="1023"/>
      <c r="K74" s="1273">
        <v>-2000</v>
      </c>
      <c r="L74" s="1117"/>
      <c r="M74" s="1273">
        <v>-2000</v>
      </c>
      <c r="N74" s="1117"/>
      <c r="O74" s="1273">
        <v>0</v>
      </c>
      <c r="P74" s="1273"/>
      <c r="Q74" s="1273">
        <v>0</v>
      </c>
      <c r="R74" s="1272"/>
      <c r="S74" s="983">
        <f>SUM(K74:Q74)</f>
        <v>-4000</v>
      </c>
    </row>
    <row r="75" spans="1:29" s="246" customFormat="1" ht="16.5" customHeight="1" x14ac:dyDescent="0.25">
      <c r="A75" s="255"/>
      <c r="B75" s="255"/>
      <c r="C75" s="955"/>
      <c r="D75" s="966"/>
      <c r="E75" s="1304"/>
      <c r="F75" s="989" t="str">
        <f>F64</f>
        <v>Opening Balance at 1 July 2023</v>
      </c>
      <c r="G75" s="1023"/>
      <c r="H75" s="1023"/>
      <c r="I75" s="1023"/>
      <c r="J75" s="1023"/>
      <c r="K75" s="1280">
        <f>SUM(K71:K74)</f>
        <v>18000</v>
      </c>
      <c r="L75" s="1117"/>
      <c r="M75" s="1280">
        <f>SUM(M71:M74)</f>
        <v>15000</v>
      </c>
      <c r="N75" s="1117"/>
      <c r="O75" s="1280">
        <f>SUM(O71:O74)</f>
        <v>0</v>
      </c>
      <c r="P75" s="982"/>
      <c r="Q75" s="1280">
        <f>SUM(Q71:Q74)</f>
        <v>0</v>
      </c>
      <c r="R75" s="1272"/>
      <c r="S75" s="1280">
        <f>SUM(S71:S74)</f>
        <v>33000</v>
      </c>
    </row>
    <row r="76" spans="1:29" s="246" customFormat="1" ht="15" thickBot="1" x14ac:dyDescent="0.3">
      <c r="A76" s="626"/>
      <c r="B76" s="626"/>
      <c r="C76" s="955"/>
      <c r="D76" s="966"/>
      <c r="E76" s="1304"/>
      <c r="F76" s="963"/>
      <c r="G76" s="1277"/>
      <c r="H76" s="1277"/>
      <c r="I76" s="1277"/>
      <c r="J76" s="1277"/>
      <c r="K76" s="1277"/>
      <c r="L76" s="1277"/>
      <c r="M76" s="1277"/>
      <c r="N76" s="1277"/>
      <c r="O76" s="1277"/>
      <c r="P76" s="1277"/>
      <c r="Q76" s="1277"/>
      <c r="R76" s="1277"/>
      <c r="S76" s="1277"/>
      <c r="U76" s="4" t="s">
        <v>1470</v>
      </c>
    </row>
    <row r="77" spans="1:29" s="246" customFormat="1" ht="16.5" customHeight="1" x14ac:dyDescent="0.25">
      <c r="A77" s="631">
        <v>16</v>
      </c>
      <c r="B77" s="2235" t="s">
        <v>1471</v>
      </c>
      <c r="C77" s="955"/>
      <c r="D77" s="966"/>
      <c r="E77" s="1304"/>
      <c r="F77" s="974" t="s">
        <v>1546</v>
      </c>
      <c r="G77" s="1281"/>
      <c r="H77" s="1281"/>
      <c r="I77" s="1281"/>
      <c r="J77" s="1281"/>
      <c r="K77" s="1281"/>
      <c r="L77" s="1281"/>
      <c r="M77" s="1281"/>
      <c r="N77" s="1281"/>
      <c r="O77" s="1281"/>
      <c r="P77" s="1281"/>
      <c r="Q77" s="1281"/>
      <c r="R77" s="1281"/>
      <c r="S77" s="1282"/>
      <c r="U77" s="2206" t="s">
        <v>1462</v>
      </c>
      <c r="V77" s="2206"/>
      <c r="W77" s="2206"/>
      <c r="X77" s="2206"/>
      <c r="Y77" s="2206"/>
      <c r="Z77" s="2206"/>
      <c r="AA77" s="2206"/>
      <c r="AB77" s="2206"/>
      <c r="AC77" s="2206"/>
    </row>
    <row r="78" spans="1:29" s="246" customFormat="1" ht="5.4" customHeight="1" x14ac:dyDescent="0.25">
      <c r="A78" s="255"/>
      <c r="B78" s="2235"/>
      <c r="C78" s="955"/>
      <c r="D78" s="966"/>
      <c r="E78" s="1304"/>
      <c r="F78" s="1283"/>
      <c r="G78" s="1284"/>
      <c r="H78" s="1284"/>
      <c r="I78" s="1284"/>
      <c r="J78" s="1284"/>
      <c r="K78" s="1284"/>
      <c r="L78" s="1284"/>
      <c r="M78" s="1284"/>
      <c r="N78" s="1284"/>
      <c r="O78" s="1284"/>
      <c r="P78" s="1284"/>
      <c r="Q78" s="1284"/>
      <c r="R78" s="1284"/>
      <c r="S78" s="1285"/>
      <c r="U78" s="2206"/>
      <c r="V78" s="2206"/>
      <c r="W78" s="2206"/>
      <c r="X78" s="2206"/>
      <c r="Y78" s="2206"/>
      <c r="Z78" s="2206"/>
      <c r="AA78" s="2206"/>
      <c r="AB78" s="2206"/>
      <c r="AC78" s="2206"/>
    </row>
    <row r="79" spans="1:29" s="246" customFormat="1" x14ac:dyDescent="0.25">
      <c r="A79" s="255"/>
      <c r="B79" s="2235"/>
      <c r="C79" s="955"/>
      <c r="D79" s="966"/>
      <c r="E79" s="1304"/>
      <c r="F79" s="1283" t="s">
        <v>1463</v>
      </c>
      <c r="G79" s="1284"/>
      <c r="H79" s="1284"/>
      <c r="I79" s="1284"/>
      <c r="J79" s="1284"/>
      <c r="K79" s="1284"/>
      <c r="L79" s="1284"/>
      <c r="M79" s="1284"/>
      <c r="N79" s="1284"/>
      <c r="O79" s="1284"/>
      <c r="P79" s="1284"/>
      <c r="Q79" s="1284"/>
      <c r="R79" s="1284"/>
      <c r="S79" s="1285"/>
      <c r="U79" s="2206"/>
      <c r="V79" s="2206"/>
      <c r="W79" s="2206"/>
      <c r="X79" s="2206"/>
      <c r="Y79" s="2206"/>
      <c r="Z79" s="2206"/>
      <c r="AA79" s="2206"/>
      <c r="AB79" s="2206"/>
      <c r="AC79" s="2206"/>
    </row>
    <row r="80" spans="1:29" s="246" customFormat="1" ht="43.5" customHeight="1" x14ac:dyDescent="0.25">
      <c r="A80" s="255"/>
      <c r="B80" s="630"/>
      <c r="C80" s="955"/>
      <c r="D80" s="1286"/>
      <c r="E80" s="1304"/>
      <c r="F80" s="2151" t="str">
        <f>"In contracts where Council is a lessee, Council recognises a right-of-use asset and a lease liability at the commencement date of the lease, unless the short-term or low-value exemption is applied. Refer to note "&amp;E203&amp;" for details on accounting policy of lease liability."</f>
        <v>In contracts where Council is a lessee, Council recognises a right-of-use asset and a lease liability at the commencement date of the lease, unless the short-term or low-value exemption is applied. Refer to note 7.4 for details on accounting policy of lease liability.</v>
      </c>
      <c r="G80" s="2152"/>
      <c r="H80" s="2152"/>
      <c r="I80" s="2152"/>
      <c r="J80" s="2152"/>
      <c r="K80" s="2152"/>
      <c r="L80" s="2152"/>
      <c r="M80" s="2152"/>
      <c r="N80" s="2152"/>
      <c r="O80" s="2152"/>
      <c r="P80" s="2152"/>
      <c r="Q80" s="2152"/>
      <c r="R80" s="2152"/>
      <c r="S80" s="2153"/>
      <c r="U80" s="2206"/>
      <c r="V80" s="2206"/>
      <c r="W80" s="2206"/>
      <c r="X80" s="2206"/>
      <c r="Y80" s="2206"/>
      <c r="Z80" s="2206"/>
      <c r="AA80" s="2206"/>
      <c r="AB80" s="2206"/>
      <c r="AC80" s="2206"/>
    </row>
    <row r="81" spans="1:29" s="246" customFormat="1" ht="7.2" customHeight="1" x14ac:dyDescent="0.25">
      <c r="A81" s="255"/>
      <c r="B81" s="630"/>
      <c r="C81" s="955"/>
      <c r="D81" s="966"/>
      <c r="E81" s="1304"/>
      <c r="F81" s="1191"/>
      <c r="G81" s="1192"/>
      <c r="H81" s="1192"/>
      <c r="I81" s="1192"/>
      <c r="J81" s="1192"/>
      <c r="K81" s="1192"/>
      <c r="L81" s="1192"/>
      <c r="M81" s="1192"/>
      <c r="N81" s="1192"/>
      <c r="O81" s="1192"/>
      <c r="P81" s="1192"/>
      <c r="Q81" s="1192"/>
      <c r="R81" s="1192"/>
      <c r="S81" s="1193"/>
      <c r="U81" s="2206"/>
      <c r="V81" s="2206"/>
      <c r="W81" s="2206"/>
      <c r="X81" s="2206"/>
      <c r="Y81" s="2206"/>
      <c r="Z81" s="2206"/>
      <c r="AA81" s="2206"/>
      <c r="AB81" s="2206"/>
      <c r="AC81" s="2206"/>
    </row>
    <row r="82" spans="1:29" s="246" customFormat="1" ht="76.5" customHeight="1" x14ac:dyDescent="0.25">
      <c r="A82" s="255"/>
      <c r="B82" s="255"/>
      <c r="C82" s="955"/>
      <c r="D82" s="966"/>
      <c r="E82" s="1304"/>
      <c r="F82" s="2151" t="s">
        <v>1869</v>
      </c>
      <c r="G82" s="2152"/>
      <c r="H82" s="2152"/>
      <c r="I82" s="2152"/>
      <c r="J82" s="2152"/>
      <c r="K82" s="2152"/>
      <c r="L82" s="2152"/>
      <c r="M82" s="2152"/>
      <c r="N82" s="2152"/>
      <c r="O82" s="2152"/>
      <c r="P82" s="2152"/>
      <c r="Q82" s="2152"/>
      <c r="R82" s="2152"/>
      <c r="S82" s="2153"/>
      <c r="U82" s="2206"/>
      <c r="V82" s="2206"/>
      <c r="W82" s="2206"/>
      <c r="X82" s="2206"/>
      <c r="Y82" s="2206"/>
      <c r="Z82" s="2206"/>
      <c r="AA82" s="2206"/>
      <c r="AB82" s="2206"/>
      <c r="AC82" s="2206"/>
    </row>
    <row r="83" spans="1:29" s="246" customFormat="1" ht="48" customHeight="1" x14ac:dyDescent="0.25">
      <c r="A83" s="255"/>
      <c r="B83" s="255"/>
      <c r="C83" s="955"/>
      <c r="D83" s="1286"/>
      <c r="E83" s="1304"/>
      <c r="F83" s="2151" t="str">
        <f>"All right-of-use assets are measured as described in the accounting policy for property, infrastructure, plant and equipment in note "&amp;'Note 6'!F5&amp;". Also, Council applies AASB 136 to determine whether a right-of-use asset is impaired and accounts for any identified impairment loss as described in the aforesaid note."</f>
        <v>All right-of-use assets are measured as described in the accounting policy for property, infrastructure, plant and equipment in note 6.1. Also, Council applies AASB 136 to determine whether a right-of-use asset is impaired and accounts for any identified impairment loss as described in the aforesaid note.</v>
      </c>
      <c r="G83" s="2152"/>
      <c r="H83" s="2152"/>
      <c r="I83" s="2152"/>
      <c r="J83" s="2152"/>
      <c r="K83" s="2152"/>
      <c r="L83" s="2152"/>
      <c r="M83" s="2152"/>
      <c r="N83" s="2152"/>
      <c r="O83" s="2152"/>
      <c r="P83" s="2152"/>
      <c r="Q83" s="2152"/>
      <c r="R83" s="2152"/>
      <c r="S83" s="2153"/>
      <c r="U83" s="2206"/>
      <c r="V83" s="2206"/>
      <c r="W83" s="2206"/>
      <c r="X83" s="2206"/>
      <c r="Y83" s="2206"/>
      <c r="Z83" s="2206"/>
      <c r="AA83" s="2206"/>
      <c r="AB83" s="2206"/>
      <c r="AC83" s="2206"/>
    </row>
    <row r="84" spans="1:29" s="246" customFormat="1" ht="61.5" customHeight="1" x14ac:dyDescent="0.25">
      <c r="A84" s="255"/>
      <c r="B84" s="255"/>
      <c r="C84" s="955"/>
      <c r="D84" s="966"/>
      <c r="E84" s="1304"/>
      <c r="F84" s="2151" t="s">
        <v>1730</v>
      </c>
      <c r="G84" s="2152"/>
      <c r="H84" s="2152"/>
      <c r="I84" s="2152"/>
      <c r="J84" s="2152"/>
      <c r="K84" s="2152"/>
      <c r="L84" s="2152"/>
      <c r="M84" s="2152"/>
      <c r="N84" s="2152"/>
      <c r="O84" s="2152"/>
      <c r="P84" s="2152"/>
      <c r="Q84" s="2152"/>
      <c r="R84" s="2152"/>
      <c r="S84" s="2153"/>
      <c r="U84" s="2206"/>
      <c r="V84" s="2206"/>
      <c r="W84" s="2206"/>
      <c r="X84" s="2206"/>
      <c r="Y84" s="2206"/>
      <c r="Z84" s="2206"/>
      <c r="AA84" s="2206"/>
      <c r="AB84" s="2206"/>
      <c r="AC84" s="2206"/>
    </row>
    <row r="85" spans="1:29" s="246" customFormat="1" ht="6" customHeight="1" thickBot="1" x14ac:dyDescent="0.3">
      <c r="A85" s="255"/>
      <c r="B85" s="255"/>
      <c r="C85" s="955"/>
      <c r="D85" s="966"/>
      <c r="E85" s="1304"/>
      <c r="F85" s="1287"/>
      <c r="G85" s="1189"/>
      <c r="H85" s="1189"/>
      <c r="I85" s="1189"/>
      <c r="J85" s="1189"/>
      <c r="K85" s="1189"/>
      <c r="L85" s="1189"/>
      <c r="M85" s="1189"/>
      <c r="N85" s="1189"/>
      <c r="O85" s="1189"/>
      <c r="P85" s="1189"/>
      <c r="Q85" s="1189"/>
      <c r="R85" s="1189"/>
      <c r="S85" s="1190"/>
      <c r="U85" s="2206"/>
      <c r="V85" s="2206"/>
      <c r="W85" s="2206"/>
      <c r="X85" s="2206"/>
      <c r="Y85" s="2206"/>
      <c r="Z85" s="2206"/>
      <c r="AA85" s="2206"/>
      <c r="AB85" s="2206"/>
      <c r="AC85" s="2206"/>
    </row>
    <row r="86" spans="1:29" s="246" customFormat="1" x14ac:dyDescent="0.25">
      <c r="A86" s="628"/>
      <c r="B86" s="628"/>
      <c r="C86" s="955"/>
      <c r="D86" s="966"/>
      <c r="E86" s="1304"/>
      <c r="F86" s="1288"/>
      <c r="G86" s="1277"/>
      <c r="H86" s="1277"/>
      <c r="I86" s="1277"/>
      <c r="J86" s="1277"/>
      <c r="K86" s="1277"/>
      <c r="L86" s="1277"/>
      <c r="M86" s="1277"/>
      <c r="N86" s="1277"/>
      <c r="O86" s="1277"/>
      <c r="P86" s="1277"/>
      <c r="Q86" s="1277"/>
      <c r="R86" s="1277"/>
      <c r="S86" s="1277"/>
      <c r="U86" s="2206"/>
      <c r="V86" s="2206"/>
      <c r="W86" s="2206"/>
      <c r="X86" s="2206"/>
      <c r="Y86" s="2206"/>
      <c r="Z86" s="2206"/>
      <c r="AA86" s="2206"/>
      <c r="AB86" s="2206"/>
      <c r="AC86" s="2206"/>
    </row>
    <row r="87" spans="1:29" s="246" customFormat="1" x14ac:dyDescent="0.25">
      <c r="A87" s="633"/>
      <c r="B87" s="633"/>
      <c r="C87" s="955"/>
      <c r="D87" s="966"/>
      <c r="E87" s="1202" t="s">
        <v>1496</v>
      </c>
      <c r="F87" s="1288"/>
      <c r="G87" s="1277"/>
      <c r="H87" s="1277"/>
      <c r="I87" s="1277"/>
      <c r="J87" s="1277"/>
      <c r="K87" s="1277"/>
      <c r="L87" s="1277"/>
      <c r="M87" s="1277"/>
      <c r="N87" s="1277"/>
      <c r="O87" s="1277"/>
      <c r="P87" s="1277"/>
      <c r="Q87" s="1277"/>
      <c r="R87" s="1277"/>
      <c r="S87" s="1277"/>
      <c r="U87" s="632"/>
      <c r="V87" s="632"/>
      <c r="W87" s="632"/>
      <c r="X87" s="632"/>
      <c r="Y87" s="632"/>
      <c r="Z87" s="632"/>
      <c r="AA87" s="632"/>
      <c r="AB87" s="632"/>
      <c r="AC87" s="632"/>
    </row>
    <row r="88" spans="1:29" s="246" customFormat="1" ht="30" customHeight="1" x14ac:dyDescent="0.25">
      <c r="A88" s="633"/>
      <c r="B88" s="633"/>
      <c r="C88" s="955"/>
      <c r="D88" s="966"/>
      <c r="E88" s="1304"/>
      <c r="F88" s="2211" t="s">
        <v>1782</v>
      </c>
      <c r="G88" s="2236"/>
      <c r="H88" s="2236"/>
      <c r="I88" s="2236"/>
      <c r="J88" s="2236"/>
      <c r="K88" s="2236"/>
      <c r="L88" s="2236"/>
      <c r="M88" s="2236"/>
      <c r="N88" s="2236"/>
      <c r="O88" s="2236"/>
      <c r="P88" s="2236"/>
      <c r="Q88" s="2236"/>
      <c r="R88" s="2236"/>
      <c r="S88" s="2236"/>
      <c r="U88" s="632"/>
      <c r="V88" s="632"/>
      <c r="W88" s="632"/>
      <c r="X88" s="632"/>
      <c r="Y88" s="632"/>
      <c r="Z88" s="632"/>
      <c r="AA88" s="632"/>
      <c r="AB88" s="632"/>
      <c r="AC88" s="632"/>
    </row>
    <row r="89" spans="1:29" s="246" customFormat="1" x14ac:dyDescent="0.25">
      <c r="A89" s="633"/>
      <c r="B89" s="633"/>
      <c r="C89" s="955"/>
      <c r="D89" s="966"/>
      <c r="E89" s="1304"/>
      <c r="F89" s="1288"/>
      <c r="G89" s="1277"/>
      <c r="H89" s="1277"/>
      <c r="I89" s="1277"/>
      <c r="J89" s="1277"/>
      <c r="K89" s="1277"/>
      <c r="L89" s="1277"/>
      <c r="M89" s="1277"/>
      <c r="N89" s="1277"/>
      <c r="O89" s="1277"/>
      <c r="P89" s="1277"/>
      <c r="Q89" s="1277"/>
      <c r="R89" s="1277"/>
      <c r="S89" s="1277"/>
      <c r="U89" s="632"/>
      <c r="V89" s="632"/>
      <c r="W89" s="632"/>
      <c r="X89" s="632"/>
      <c r="Y89" s="632"/>
      <c r="Z89" s="632"/>
      <c r="AA89" s="632"/>
      <c r="AB89" s="632"/>
      <c r="AC89" s="632"/>
    </row>
    <row r="90" spans="1:29" s="246" customFormat="1" x14ac:dyDescent="0.25">
      <c r="A90" s="633">
        <v>16</v>
      </c>
      <c r="B90" s="633">
        <v>59</v>
      </c>
      <c r="C90" s="955"/>
      <c r="D90" s="966"/>
      <c r="E90" s="1304"/>
      <c r="F90" s="1289" t="s">
        <v>1497</v>
      </c>
      <c r="G90" s="1277"/>
      <c r="H90" s="1277"/>
      <c r="I90" s="1277"/>
      <c r="J90" s="1277"/>
      <c r="K90" s="1277"/>
      <c r="L90" s="1277"/>
      <c r="M90" s="1277"/>
      <c r="N90" s="1277"/>
      <c r="O90" s="1277"/>
      <c r="P90" s="1277"/>
      <c r="Q90" s="1277"/>
      <c r="R90" s="1277"/>
      <c r="S90" s="1277"/>
      <c r="U90" s="632"/>
      <c r="V90" s="632"/>
      <c r="W90" s="632"/>
      <c r="X90" s="632"/>
      <c r="Y90" s="632"/>
      <c r="Z90" s="632"/>
      <c r="AA90" s="632"/>
      <c r="AB90" s="632"/>
      <c r="AC90" s="632"/>
    </row>
    <row r="91" spans="1:29" s="246" customFormat="1" ht="33" customHeight="1" x14ac:dyDescent="0.25">
      <c r="A91" s="633"/>
      <c r="B91" s="633"/>
      <c r="C91" s="955"/>
      <c r="D91" s="966"/>
      <c r="E91" s="1304"/>
      <c r="F91" s="2211" t="s">
        <v>1506</v>
      </c>
      <c r="G91" s="2211"/>
      <c r="H91" s="2211"/>
      <c r="I91" s="2211"/>
      <c r="J91" s="2211"/>
      <c r="K91" s="2211"/>
      <c r="L91" s="2211"/>
      <c r="M91" s="2211"/>
      <c r="N91" s="2211"/>
      <c r="O91" s="2211"/>
      <c r="P91" s="2211"/>
      <c r="Q91" s="2211"/>
      <c r="R91" s="2211"/>
      <c r="S91" s="2211"/>
      <c r="U91" s="632"/>
      <c r="V91" s="632"/>
      <c r="W91" s="632"/>
      <c r="X91" s="632"/>
      <c r="Y91" s="632"/>
      <c r="Z91" s="632"/>
      <c r="AA91" s="632"/>
      <c r="AB91" s="632"/>
      <c r="AC91" s="632"/>
    </row>
    <row r="92" spans="1:29" s="246" customFormat="1" x14ac:dyDescent="0.25">
      <c r="A92" s="633"/>
      <c r="B92" s="633"/>
      <c r="C92" s="955"/>
      <c r="D92" s="966"/>
      <c r="E92" s="1304"/>
      <c r="F92" s="1288"/>
      <c r="G92" s="1277"/>
      <c r="H92" s="1277"/>
      <c r="I92" s="1277"/>
      <c r="J92" s="1277"/>
      <c r="K92" s="1277"/>
      <c r="L92" s="1277"/>
      <c r="M92" s="1277"/>
      <c r="N92" s="1277"/>
      <c r="O92" s="1277"/>
      <c r="P92" s="1277"/>
      <c r="Q92" s="1277"/>
      <c r="R92" s="1277"/>
      <c r="S92" s="1277"/>
      <c r="U92" s="632"/>
      <c r="V92" s="632"/>
      <c r="W92" s="632"/>
      <c r="X92" s="632"/>
      <c r="Y92" s="632"/>
      <c r="Z92" s="632"/>
      <c r="AA92" s="632"/>
      <c r="AB92" s="632"/>
      <c r="AC92" s="632"/>
    </row>
    <row r="93" spans="1:29" s="246" customFormat="1" x14ac:dyDescent="0.25">
      <c r="A93" s="633">
        <v>16</v>
      </c>
      <c r="B93" s="633">
        <v>59</v>
      </c>
      <c r="C93" s="955"/>
      <c r="D93" s="966"/>
      <c r="E93" s="1304"/>
      <c r="F93" s="1289" t="s">
        <v>1498</v>
      </c>
      <c r="G93" s="1277"/>
      <c r="H93" s="1277"/>
      <c r="I93" s="1277"/>
      <c r="J93" s="1277"/>
      <c r="K93" s="1277"/>
      <c r="L93" s="1277"/>
      <c r="M93" s="1277"/>
      <c r="N93" s="1277"/>
      <c r="O93" s="1277"/>
      <c r="P93" s="1277"/>
      <c r="Q93" s="1277"/>
      <c r="R93" s="1277"/>
      <c r="S93" s="1277"/>
      <c r="U93" s="632"/>
      <c r="V93" s="632"/>
      <c r="W93" s="632"/>
      <c r="X93" s="632"/>
      <c r="Y93" s="632"/>
      <c r="Z93" s="632"/>
      <c r="AA93" s="632"/>
      <c r="AB93" s="632"/>
      <c r="AC93" s="632"/>
    </row>
    <row r="94" spans="1:29" s="246" customFormat="1" ht="30" customHeight="1" x14ac:dyDescent="0.25">
      <c r="A94" s="633"/>
      <c r="B94" s="633"/>
      <c r="C94" s="955"/>
      <c r="D94" s="966"/>
      <c r="E94" s="1304"/>
      <c r="F94" s="2211" t="s">
        <v>1507</v>
      </c>
      <c r="G94" s="2211"/>
      <c r="H94" s="2211"/>
      <c r="I94" s="2211"/>
      <c r="J94" s="2211"/>
      <c r="K94" s="2211"/>
      <c r="L94" s="2211"/>
      <c r="M94" s="2211"/>
      <c r="N94" s="2211"/>
      <c r="O94" s="2211"/>
      <c r="P94" s="2211"/>
      <c r="Q94" s="2211"/>
      <c r="R94" s="2211"/>
      <c r="S94" s="2211"/>
      <c r="U94" s="632"/>
      <c r="V94" s="632"/>
      <c r="W94" s="632"/>
      <c r="X94" s="632"/>
      <c r="Y94" s="632"/>
      <c r="Z94" s="632"/>
      <c r="AA94" s="632"/>
      <c r="AB94" s="632"/>
      <c r="AC94" s="632"/>
    </row>
    <row r="95" spans="1:29" s="246" customFormat="1" ht="15" thickBot="1" x14ac:dyDescent="0.3">
      <c r="A95" s="633"/>
      <c r="B95" s="633"/>
      <c r="C95" s="955"/>
      <c r="D95" s="966"/>
      <c r="E95" s="1304"/>
      <c r="F95" s="1288"/>
      <c r="G95" s="1277"/>
      <c r="H95" s="1277"/>
      <c r="I95" s="1277"/>
      <c r="J95" s="1277"/>
      <c r="K95" s="1277"/>
      <c r="L95" s="1277"/>
      <c r="M95" s="1277"/>
      <c r="N95" s="1277"/>
      <c r="O95" s="1277"/>
      <c r="P95" s="1277"/>
      <c r="Q95" s="1277"/>
      <c r="R95" s="1277"/>
      <c r="S95" s="1277"/>
      <c r="U95" s="632"/>
      <c r="V95" s="632"/>
      <c r="W95" s="632"/>
      <c r="X95" s="632"/>
      <c r="Y95" s="632"/>
      <c r="Z95" s="632"/>
      <c r="AA95" s="632"/>
      <c r="AB95" s="632"/>
      <c r="AC95" s="632"/>
    </row>
    <row r="96" spans="1:29" s="246" customFormat="1" x14ac:dyDescent="0.25">
      <c r="A96" s="633"/>
      <c r="B96" s="633"/>
      <c r="C96" s="955"/>
      <c r="D96" s="966"/>
      <c r="E96" s="1304"/>
      <c r="F96" s="974" t="s">
        <v>1546</v>
      </c>
      <c r="G96" s="1281"/>
      <c r="H96" s="1281"/>
      <c r="I96" s="1281"/>
      <c r="J96" s="1281"/>
      <c r="K96" s="1281"/>
      <c r="L96" s="1281"/>
      <c r="M96" s="1281"/>
      <c r="N96" s="1281"/>
      <c r="O96" s="1281"/>
      <c r="P96" s="1281"/>
      <c r="Q96" s="1281"/>
      <c r="R96" s="1281"/>
      <c r="S96" s="1282"/>
      <c r="U96" s="632"/>
      <c r="V96" s="632"/>
      <c r="W96" s="632"/>
      <c r="X96" s="632"/>
      <c r="Y96" s="632"/>
      <c r="Z96" s="632"/>
      <c r="AA96" s="632"/>
      <c r="AB96" s="632"/>
      <c r="AC96" s="632"/>
    </row>
    <row r="97" spans="1:29" s="246" customFormat="1" ht="7.95" customHeight="1" x14ac:dyDescent="0.25">
      <c r="A97" s="633"/>
      <c r="B97" s="633"/>
      <c r="C97" s="955"/>
      <c r="D97" s="966"/>
      <c r="E97" s="1304"/>
      <c r="F97" s="1283"/>
      <c r="G97" s="1284"/>
      <c r="H97" s="1284"/>
      <c r="I97" s="1284"/>
      <c r="J97" s="1284"/>
      <c r="K97" s="1284"/>
      <c r="L97" s="1284"/>
      <c r="M97" s="1284"/>
      <c r="N97" s="1284"/>
      <c r="O97" s="1284"/>
      <c r="P97" s="1284"/>
      <c r="Q97" s="1284"/>
      <c r="R97" s="1284"/>
      <c r="S97" s="1285"/>
      <c r="U97" s="632"/>
      <c r="V97" s="632"/>
      <c r="W97" s="632"/>
      <c r="X97" s="632"/>
      <c r="Y97" s="632"/>
      <c r="Z97" s="632"/>
      <c r="AA97" s="632"/>
      <c r="AB97" s="632"/>
      <c r="AC97" s="632"/>
    </row>
    <row r="98" spans="1:29" s="246" customFormat="1" x14ac:dyDescent="0.25">
      <c r="A98" s="633"/>
      <c r="B98" s="633"/>
      <c r="C98" s="955"/>
      <c r="D98" s="966"/>
      <c r="E98" s="1304"/>
      <c r="F98" s="1283" t="s">
        <v>1499</v>
      </c>
      <c r="G98" s="1284"/>
      <c r="H98" s="1284"/>
      <c r="I98" s="1284"/>
      <c r="J98" s="1284"/>
      <c r="K98" s="1284"/>
      <c r="L98" s="1284"/>
      <c r="M98" s="1284"/>
      <c r="N98" s="1284"/>
      <c r="O98" s="1284"/>
      <c r="P98" s="1284"/>
      <c r="Q98" s="1284"/>
      <c r="R98" s="1284"/>
      <c r="S98" s="1285"/>
      <c r="U98" s="632"/>
      <c r="V98" s="632"/>
      <c r="W98" s="632"/>
      <c r="X98" s="632"/>
      <c r="Y98" s="632"/>
      <c r="Z98" s="632"/>
      <c r="AA98" s="632"/>
      <c r="AB98" s="632"/>
      <c r="AC98" s="632"/>
    </row>
    <row r="99" spans="1:29" s="246" customFormat="1" ht="46.5" customHeight="1" thickBot="1" x14ac:dyDescent="0.3">
      <c r="A99" s="633"/>
      <c r="B99" s="633"/>
      <c r="C99" s="955"/>
      <c r="D99" s="1286"/>
      <c r="E99" s="1304"/>
      <c r="F99" s="2135" t="str">
        <f>"Council has elected to measure a class (or classes) of right-of-use assets arising under 'concessionary leases' at initial recognition at cost, in accordance with AASB16.23–25.2. For lease liabilities corresponding to concessionary leases, refer to note "&amp;E203&amp;"."</f>
        <v>Council has elected to measure a class (or classes) of right-of-use assets arising under 'concessionary leases' at initial recognition at cost, in accordance with AASB16.23–25.2. For lease liabilities corresponding to concessionary leases, refer to note 7.4.</v>
      </c>
      <c r="G99" s="2136"/>
      <c r="H99" s="2136"/>
      <c r="I99" s="2136"/>
      <c r="J99" s="2136"/>
      <c r="K99" s="2136"/>
      <c r="L99" s="2136"/>
      <c r="M99" s="2136"/>
      <c r="N99" s="2136"/>
      <c r="O99" s="2136"/>
      <c r="P99" s="2136"/>
      <c r="Q99" s="2136"/>
      <c r="R99" s="2136"/>
      <c r="S99" s="2137"/>
      <c r="U99" s="302"/>
      <c r="V99" s="632"/>
      <c r="W99" s="632"/>
      <c r="X99" s="632"/>
      <c r="Y99" s="632"/>
      <c r="Z99" s="632"/>
      <c r="AA99" s="632"/>
      <c r="AB99" s="632"/>
      <c r="AC99" s="632"/>
    </row>
    <row r="100" spans="1:29" s="246" customFormat="1" x14ac:dyDescent="0.25">
      <c r="A100" s="633"/>
      <c r="B100" s="633"/>
      <c r="C100" s="955"/>
      <c r="D100" s="966"/>
      <c r="E100" s="1304"/>
      <c r="F100" s="1290"/>
      <c r="G100" s="1290"/>
      <c r="H100" s="1290"/>
      <c r="I100" s="1290"/>
      <c r="J100" s="1290"/>
      <c r="K100" s="1290"/>
      <c r="L100" s="1290"/>
      <c r="M100" s="1290"/>
      <c r="N100" s="1290"/>
      <c r="O100" s="1290"/>
      <c r="P100" s="1290"/>
      <c r="Q100" s="1290"/>
      <c r="R100" s="1290"/>
      <c r="S100" s="1290"/>
      <c r="U100" s="632"/>
      <c r="V100" s="632"/>
      <c r="W100" s="632"/>
      <c r="X100" s="632"/>
      <c r="Y100" s="632"/>
      <c r="Z100" s="632"/>
      <c r="AA100" s="632"/>
      <c r="AB100" s="632"/>
      <c r="AC100" s="632"/>
    </row>
    <row r="101" spans="1:29" s="1" customFormat="1" ht="16.5" customHeight="1" x14ac:dyDescent="0.25">
      <c r="A101" s="144">
        <v>101</v>
      </c>
      <c r="B101" s="144">
        <v>55</v>
      </c>
      <c r="C101" s="955"/>
      <c r="D101" s="961" t="s">
        <v>286</v>
      </c>
      <c r="E101" s="954">
        <f>E60+0.1</f>
        <v>6.4999999999999982</v>
      </c>
      <c r="F101" s="960" t="s">
        <v>652</v>
      </c>
      <c r="G101" s="963"/>
      <c r="H101" s="955"/>
      <c r="I101" s="955"/>
      <c r="J101" s="955"/>
      <c r="K101" s="1118"/>
      <c r="L101" s="1153"/>
      <c r="M101" s="1118"/>
      <c r="N101" s="955"/>
      <c r="O101" s="955"/>
      <c r="P101" s="955"/>
      <c r="Q101" s="963"/>
      <c r="R101" s="955"/>
      <c r="S101" s="955"/>
    </row>
    <row r="102" spans="1:29" s="1" customFormat="1" ht="16.5" customHeight="1" x14ac:dyDescent="0.25">
      <c r="A102" s="154"/>
      <c r="B102" s="154"/>
      <c r="C102" s="955"/>
      <c r="D102" s="963"/>
      <c r="E102" s="1304"/>
      <c r="F102" s="1291" t="s">
        <v>586</v>
      </c>
      <c r="G102" s="963"/>
      <c r="H102" s="955"/>
      <c r="I102" s="955"/>
      <c r="J102" s="955"/>
      <c r="K102" s="1118"/>
      <c r="L102" s="1153"/>
      <c r="M102" s="1118"/>
      <c r="N102" s="955"/>
      <c r="O102" s="955"/>
      <c r="P102" s="955"/>
      <c r="Q102" s="955"/>
      <c r="R102" s="955"/>
      <c r="S102" s="955"/>
      <c r="T102" s="11"/>
    </row>
    <row r="103" spans="1:29" s="1" customFormat="1" ht="16.5" customHeight="1" x14ac:dyDescent="0.25">
      <c r="A103" s="154"/>
      <c r="B103" s="154"/>
      <c r="C103" s="955"/>
      <c r="D103" s="963"/>
      <c r="E103" s="1304"/>
      <c r="F103" s="990" t="s">
        <v>418</v>
      </c>
      <c r="G103" s="963"/>
      <c r="H103" s="955"/>
      <c r="I103" s="955"/>
      <c r="J103" s="955"/>
      <c r="K103" s="955"/>
      <c r="L103" s="955"/>
      <c r="M103" s="955"/>
      <c r="N103" s="955"/>
      <c r="O103" s="955"/>
      <c r="P103" s="955"/>
      <c r="Q103" s="1118"/>
      <c r="R103" s="1153"/>
      <c r="S103" s="1118"/>
      <c r="T103" s="11"/>
    </row>
    <row r="104" spans="1:29" s="1" customFormat="1" ht="16.5" customHeight="1" x14ac:dyDescent="0.25">
      <c r="A104" s="154"/>
      <c r="B104" s="154"/>
      <c r="C104" s="955"/>
      <c r="D104" s="963"/>
      <c r="E104" s="1304"/>
      <c r="F104" s="990" t="s">
        <v>102</v>
      </c>
      <c r="G104" s="963"/>
      <c r="H104" s="955"/>
      <c r="I104" s="955"/>
      <c r="J104" s="955"/>
      <c r="K104" s="955"/>
      <c r="L104" s="955"/>
      <c r="M104" s="955"/>
      <c r="N104" s="955"/>
      <c r="O104" s="955"/>
      <c r="P104" s="955"/>
      <c r="Q104" s="1118">
        <v>0</v>
      </c>
      <c r="R104" s="1153"/>
      <c r="S104" s="1118">
        <v>0</v>
      </c>
      <c r="T104" s="11"/>
      <c r="U104" s="701" t="s">
        <v>1818</v>
      </c>
    </row>
    <row r="105" spans="1:29" s="1" customFormat="1" ht="16.5" customHeight="1" x14ac:dyDescent="0.25">
      <c r="A105" s="154"/>
      <c r="B105" s="154"/>
      <c r="C105" s="955"/>
      <c r="D105" s="963"/>
      <c r="E105" s="1304"/>
      <c r="F105" s="1292" t="s">
        <v>103</v>
      </c>
      <c r="G105" s="963"/>
      <c r="H105" s="955"/>
      <c r="I105" s="955"/>
      <c r="J105" s="955"/>
      <c r="K105" s="955"/>
      <c r="L105" s="955"/>
      <c r="M105" s="955"/>
      <c r="N105" s="955"/>
      <c r="O105" s="955"/>
      <c r="P105" s="955"/>
      <c r="Q105" s="1131">
        <f>SUM(Q103:Q104)</f>
        <v>0</v>
      </c>
      <c r="R105" s="1132"/>
      <c r="S105" s="1131">
        <f>SUM(S103:S104)</f>
        <v>0</v>
      </c>
      <c r="T105" s="11"/>
      <c r="U105" s="23">
        <f>Q105-S105</f>
        <v>0</v>
      </c>
    </row>
    <row r="106" spans="1:29" s="1" customFormat="1" ht="16.5" customHeight="1" x14ac:dyDescent="0.25">
      <c r="A106" s="154"/>
      <c r="B106" s="154"/>
      <c r="C106" s="955"/>
      <c r="D106" s="963"/>
      <c r="E106" s="1304"/>
      <c r="F106" s="1291" t="s">
        <v>331</v>
      </c>
      <c r="G106" s="963"/>
      <c r="H106" s="955"/>
      <c r="I106" s="955"/>
      <c r="J106" s="955"/>
      <c r="K106" s="955"/>
      <c r="L106" s="955"/>
      <c r="M106" s="955"/>
      <c r="N106" s="955"/>
      <c r="O106" s="955"/>
      <c r="P106" s="955"/>
      <c r="Q106" s="1118"/>
      <c r="R106" s="1153"/>
      <c r="S106" s="1118"/>
      <c r="T106" s="11"/>
    </row>
    <row r="107" spans="1:29" s="1" customFormat="1" ht="16.5" customHeight="1" x14ac:dyDescent="0.25">
      <c r="A107" s="154"/>
      <c r="B107" s="154"/>
      <c r="C107" s="955"/>
      <c r="D107" s="963"/>
      <c r="E107" s="1304"/>
      <c r="F107" s="990" t="s">
        <v>418</v>
      </c>
      <c r="G107" s="963"/>
      <c r="H107" s="955"/>
      <c r="I107" s="955"/>
      <c r="J107" s="955"/>
      <c r="K107" s="955"/>
      <c r="L107" s="955"/>
      <c r="M107" s="955"/>
      <c r="N107" s="955"/>
      <c r="O107" s="955"/>
      <c r="P107" s="955"/>
      <c r="Q107" s="1118">
        <v>0</v>
      </c>
      <c r="R107" s="1153"/>
      <c r="S107" s="1118">
        <v>0</v>
      </c>
      <c r="T107" s="11"/>
    </row>
    <row r="108" spans="1:29" s="1" customFormat="1" ht="16.5" customHeight="1" x14ac:dyDescent="0.25">
      <c r="A108" s="154"/>
      <c r="B108" s="154"/>
      <c r="C108" s="955"/>
      <c r="D108" s="963"/>
      <c r="E108" s="1304"/>
      <c r="F108" s="990" t="s">
        <v>102</v>
      </c>
      <c r="G108" s="963"/>
      <c r="H108" s="955"/>
      <c r="I108" s="955"/>
      <c r="J108" s="955"/>
      <c r="K108" s="955"/>
      <c r="L108" s="955"/>
      <c r="M108" s="955"/>
      <c r="N108" s="955"/>
      <c r="O108" s="955"/>
      <c r="P108" s="1228"/>
      <c r="Q108" s="1118">
        <v>0</v>
      </c>
      <c r="R108" s="1153"/>
      <c r="S108" s="1118">
        <v>0</v>
      </c>
      <c r="T108" s="108"/>
    </row>
    <row r="109" spans="1:29" s="1" customFormat="1" ht="16.5" customHeight="1" x14ac:dyDescent="0.25">
      <c r="A109" s="138"/>
      <c r="B109" s="138"/>
      <c r="C109" s="955"/>
      <c r="D109" s="963"/>
      <c r="E109" s="1304"/>
      <c r="F109" s="1292" t="s">
        <v>103</v>
      </c>
      <c r="G109" s="963"/>
      <c r="H109" s="955"/>
      <c r="I109" s="955"/>
      <c r="J109" s="955"/>
      <c r="K109" s="955"/>
      <c r="L109" s="955"/>
      <c r="M109" s="955"/>
      <c r="N109" s="955"/>
      <c r="O109" s="955"/>
      <c r="P109" s="1228"/>
      <c r="Q109" s="1131">
        <f>SUM(Q107:Q108)</f>
        <v>0</v>
      </c>
      <c r="R109" s="1132"/>
      <c r="S109" s="1131">
        <f>SUM(S107:S108)</f>
        <v>0</v>
      </c>
      <c r="T109" s="11"/>
    </row>
    <row r="110" spans="1:29" s="246" customFormat="1" x14ac:dyDescent="0.25">
      <c r="A110" s="665"/>
      <c r="B110" s="665"/>
      <c r="C110" s="955"/>
      <c r="D110" s="966"/>
      <c r="E110" s="1304"/>
      <c r="F110" s="1290"/>
      <c r="G110" s="1290"/>
      <c r="H110" s="1290"/>
      <c r="I110" s="1290"/>
      <c r="J110" s="1290"/>
      <c r="K110" s="1290"/>
      <c r="L110" s="1290"/>
      <c r="M110" s="1290"/>
      <c r="N110" s="1290"/>
      <c r="O110" s="1290"/>
      <c r="P110" s="1290"/>
      <c r="Q110" s="1290"/>
      <c r="R110" s="1290"/>
      <c r="S110" s="1290"/>
      <c r="U110" s="664"/>
      <c r="V110" s="664"/>
      <c r="W110" s="664"/>
      <c r="X110" s="664"/>
      <c r="Y110" s="664"/>
      <c r="Z110" s="664"/>
      <c r="AA110" s="664"/>
      <c r="AB110" s="664"/>
      <c r="AC110" s="664"/>
    </row>
    <row r="111" spans="1:29" s="246" customFormat="1" ht="14.4" customHeight="1" x14ac:dyDescent="0.25">
      <c r="A111" s="517"/>
      <c r="B111" s="517"/>
      <c r="C111" s="955"/>
      <c r="D111" s="960" t="s">
        <v>773</v>
      </c>
      <c r="E111" s="1328">
        <v>7</v>
      </c>
      <c r="F111" s="1294" t="s">
        <v>181</v>
      </c>
      <c r="G111" s="955"/>
      <c r="H111" s="955"/>
      <c r="I111" s="955"/>
      <c r="J111" s="1277"/>
      <c r="K111" s="1277"/>
      <c r="L111" s="1277"/>
      <c r="M111" s="1277"/>
      <c r="N111" s="1277"/>
      <c r="O111" s="1277"/>
      <c r="P111" s="1277"/>
      <c r="Q111" s="1277"/>
      <c r="R111" s="1277"/>
      <c r="S111" s="1277"/>
      <c r="U111" s="632"/>
      <c r="V111" s="632"/>
      <c r="W111" s="632"/>
      <c r="X111" s="632"/>
      <c r="Y111" s="632"/>
      <c r="Z111" s="632"/>
      <c r="AA111" s="632"/>
      <c r="AB111" s="632"/>
      <c r="AC111" s="632"/>
    </row>
    <row r="112" spans="1:29" ht="16.5" customHeight="1" x14ac:dyDescent="0.25">
      <c r="A112" s="243">
        <v>101</v>
      </c>
      <c r="B112" s="243" t="s">
        <v>667</v>
      </c>
      <c r="D112" s="960" t="s">
        <v>286</v>
      </c>
      <c r="E112" s="1328">
        <v>7.1</v>
      </c>
      <c r="F112" s="989" t="s">
        <v>240</v>
      </c>
      <c r="J112" s="1039"/>
      <c r="K112" s="1295"/>
      <c r="L112" s="1039"/>
      <c r="M112" s="1039"/>
      <c r="N112" s="1039"/>
      <c r="O112" s="1039"/>
      <c r="P112" s="1296"/>
      <c r="Q112" s="1297"/>
      <c r="S112" s="1297"/>
    </row>
    <row r="113" spans="1:21" ht="15.75" customHeight="1" x14ac:dyDescent="0.25">
      <c r="A113" s="243"/>
      <c r="B113" s="242"/>
      <c r="F113" s="986" t="s">
        <v>135</v>
      </c>
      <c r="P113" s="1296"/>
      <c r="Q113" s="1257">
        <f>1584+4234+400</f>
        <v>6218</v>
      </c>
      <c r="R113" s="1257"/>
      <c r="S113" s="1257">
        <f>4135+1105</f>
        <v>5240</v>
      </c>
    </row>
    <row r="114" spans="1:21" s="246" customFormat="1" ht="15.75" customHeight="1" x14ac:dyDescent="0.25">
      <c r="A114" s="254">
        <v>1058</v>
      </c>
      <c r="B114" s="246" t="s">
        <v>1636</v>
      </c>
      <c r="C114" s="955"/>
      <c r="D114" s="966"/>
      <c r="E114" s="1304"/>
      <c r="F114" s="986" t="s">
        <v>729</v>
      </c>
      <c r="G114" s="1023"/>
      <c r="H114" s="1023"/>
      <c r="I114" s="1023"/>
      <c r="J114" s="1023"/>
      <c r="K114" s="1254"/>
      <c r="L114" s="1023"/>
      <c r="M114" s="1023"/>
      <c r="N114" s="1023"/>
      <c r="O114" s="1023"/>
      <c r="P114" s="1296"/>
      <c r="Q114" s="1257">
        <v>1012</v>
      </c>
      <c r="R114" s="1257"/>
      <c r="S114" s="1257">
        <v>1014</v>
      </c>
      <c r="T114" s="307" t="s">
        <v>1637</v>
      </c>
    </row>
    <row r="115" spans="1:21" ht="17.25" customHeight="1" x14ac:dyDescent="0.25">
      <c r="A115" s="243"/>
      <c r="B115" s="243"/>
      <c r="F115" s="986" t="s">
        <v>148</v>
      </c>
      <c r="P115" s="1296"/>
      <c r="Q115" s="1257">
        <v>264</v>
      </c>
      <c r="R115" s="1257"/>
      <c r="S115" s="1257">
        <v>258</v>
      </c>
      <c r="U115" s="93"/>
    </row>
    <row r="116" spans="1:21" ht="16.5" customHeight="1" x14ac:dyDescent="0.25">
      <c r="A116" s="243"/>
      <c r="B116" s="243"/>
      <c r="F116" s="986" t="s">
        <v>383</v>
      </c>
      <c r="P116" s="1296"/>
      <c r="Q116" s="1257">
        <v>794</v>
      </c>
      <c r="R116" s="1257"/>
      <c r="S116" s="1257">
        <v>775</v>
      </c>
    </row>
    <row r="117" spans="1:21" ht="16.5" customHeight="1" x14ac:dyDescent="0.25">
      <c r="A117" s="243"/>
      <c r="B117" s="243"/>
      <c r="F117" s="989" t="s">
        <v>406</v>
      </c>
      <c r="K117" s="1269"/>
      <c r="Q117" s="1298">
        <f>SUM(Q113:Q116)</f>
        <v>8288</v>
      </c>
      <c r="R117" s="1299"/>
      <c r="S117" s="1298">
        <f>SUM(S113:S116)</f>
        <v>7287</v>
      </c>
      <c r="T117" s="23"/>
    </row>
    <row r="118" spans="1:21" s="246" customFormat="1" ht="10.5" customHeight="1" thickBot="1" x14ac:dyDescent="0.3">
      <c r="A118" s="254"/>
      <c r="B118" s="254"/>
      <c r="C118" s="955"/>
      <c r="D118" s="966"/>
      <c r="E118" s="1304"/>
      <c r="F118" s="989"/>
      <c r="G118" s="1023"/>
      <c r="H118" s="1023"/>
      <c r="I118" s="1023"/>
      <c r="J118" s="1023"/>
      <c r="K118" s="1269"/>
      <c r="L118" s="1023"/>
      <c r="M118" s="1023"/>
      <c r="N118" s="1023"/>
      <c r="O118" s="1023"/>
      <c r="P118" s="955"/>
      <c r="Q118" s="1299"/>
      <c r="R118" s="1299"/>
      <c r="S118" s="1299"/>
    </row>
    <row r="119" spans="1:21" s="246" customFormat="1" x14ac:dyDescent="0.25">
      <c r="A119" s="2222" t="s">
        <v>282</v>
      </c>
      <c r="B119" s="254">
        <v>33</v>
      </c>
      <c r="C119" s="955"/>
      <c r="D119" s="960"/>
      <c r="E119" s="1328"/>
      <c r="F119" s="1067" t="s">
        <v>1133</v>
      </c>
      <c r="G119" s="1068"/>
      <c r="H119" s="1068"/>
      <c r="I119" s="1068"/>
      <c r="J119" s="1068"/>
      <c r="K119" s="1068"/>
      <c r="L119" s="1068"/>
      <c r="M119" s="1068"/>
      <c r="N119" s="1068"/>
      <c r="O119" s="1068"/>
      <c r="P119" s="1068"/>
      <c r="Q119" s="1068"/>
      <c r="R119" s="1068"/>
      <c r="S119" s="1069"/>
      <c r="T119" s="23"/>
    </row>
    <row r="120" spans="1:21" s="246" customFormat="1" ht="9.9" customHeight="1" x14ac:dyDescent="0.25">
      <c r="A120" s="2222"/>
      <c r="B120" s="254"/>
      <c r="C120" s="955"/>
      <c r="D120" s="960"/>
      <c r="E120" s="1328"/>
      <c r="F120" s="1259"/>
      <c r="G120" s="1260"/>
      <c r="H120" s="1260"/>
      <c r="I120" s="1260"/>
      <c r="J120" s="1260"/>
      <c r="K120" s="1260"/>
      <c r="L120" s="1260"/>
      <c r="M120" s="1260"/>
      <c r="N120" s="1260"/>
      <c r="O120" s="1260"/>
      <c r="P120" s="1260"/>
      <c r="Q120" s="1260"/>
      <c r="R120" s="1260"/>
      <c r="S120" s="1261"/>
      <c r="T120" s="23"/>
    </row>
    <row r="121" spans="1:21" s="246" customFormat="1" x14ac:dyDescent="0.25">
      <c r="A121" s="2222"/>
      <c r="B121" s="254"/>
      <c r="C121" s="955"/>
      <c r="D121" s="960"/>
      <c r="E121" s="1328"/>
      <c r="F121" s="1259" t="s">
        <v>240</v>
      </c>
      <c r="G121" s="1260"/>
      <c r="H121" s="1260"/>
      <c r="I121" s="1260"/>
      <c r="J121" s="1260"/>
      <c r="K121" s="1260"/>
      <c r="L121" s="1260"/>
      <c r="M121" s="1260"/>
      <c r="N121" s="1260"/>
      <c r="O121" s="1260"/>
      <c r="P121" s="1260"/>
      <c r="Q121" s="1260"/>
      <c r="R121" s="1260"/>
      <c r="S121" s="1261"/>
      <c r="T121" s="23"/>
    </row>
    <row r="122" spans="1:21" s="246" customFormat="1" ht="45.75" customHeight="1" x14ac:dyDescent="0.25">
      <c r="A122" s="2222"/>
      <c r="B122" s="596"/>
      <c r="C122" s="955"/>
      <c r="D122" s="960"/>
      <c r="E122" s="1328"/>
      <c r="F122" s="2132" t="s">
        <v>1784</v>
      </c>
      <c r="G122" s="2133"/>
      <c r="H122" s="2133"/>
      <c r="I122" s="2133"/>
      <c r="J122" s="2133"/>
      <c r="K122" s="2133"/>
      <c r="L122" s="2133"/>
      <c r="M122" s="2133"/>
      <c r="N122" s="2133"/>
      <c r="O122" s="2133"/>
      <c r="P122" s="2133"/>
      <c r="Q122" s="2133"/>
      <c r="R122" s="2133"/>
      <c r="S122" s="2134"/>
      <c r="T122" s="23"/>
    </row>
    <row r="123" spans="1:21" s="246" customFormat="1" ht="32.25" customHeight="1" thickBot="1" x14ac:dyDescent="0.3">
      <c r="A123" s="695"/>
      <c r="B123" s="695"/>
      <c r="C123" s="955"/>
      <c r="D123" s="960"/>
      <c r="E123" s="1328"/>
      <c r="F123" s="2141" t="s">
        <v>1785</v>
      </c>
      <c r="G123" s="2142"/>
      <c r="H123" s="2142"/>
      <c r="I123" s="2142"/>
      <c r="J123" s="2142"/>
      <c r="K123" s="2142"/>
      <c r="L123" s="2142"/>
      <c r="M123" s="2142"/>
      <c r="N123" s="2142"/>
      <c r="O123" s="2142"/>
      <c r="P123" s="2142"/>
      <c r="Q123" s="2142"/>
      <c r="R123" s="2142"/>
      <c r="S123" s="2143"/>
      <c r="T123" s="23"/>
    </row>
    <row r="124" spans="1:21" s="246" customFormat="1" ht="7.5" customHeight="1" x14ac:dyDescent="0.25">
      <c r="A124" s="254"/>
      <c r="B124" s="254"/>
      <c r="C124" s="955"/>
      <c r="D124" s="966"/>
      <c r="E124" s="1304"/>
      <c r="F124" s="989"/>
      <c r="G124" s="1023"/>
      <c r="H124" s="1023"/>
      <c r="I124" s="1023"/>
      <c r="J124" s="1023"/>
      <c r="K124" s="1269"/>
      <c r="L124" s="1023"/>
      <c r="M124" s="1023"/>
      <c r="N124" s="1023"/>
      <c r="O124" s="1023"/>
      <c r="P124" s="955"/>
      <c r="Q124" s="1299"/>
      <c r="R124" s="1299"/>
      <c r="S124" s="1299"/>
    </row>
    <row r="125" spans="1:21" s="246" customFormat="1" ht="16.5" customHeight="1" x14ac:dyDescent="0.25">
      <c r="A125" s="254"/>
      <c r="B125" s="254"/>
      <c r="C125" s="955"/>
      <c r="D125" s="1286"/>
      <c r="E125" s="1304"/>
      <c r="F125" s="986" t="s">
        <v>1371</v>
      </c>
      <c r="G125" s="955"/>
      <c r="H125" s="955"/>
      <c r="I125" s="955"/>
      <c r="J125" s="955"/>
      <c r="K125" s="1269"/>
      <c r="L125" s="1023"/>
      <c r="M125" s="1023"/>
      <c r="N125" s="1023"/>
      <c r="O125" s="1023"/>
      <c r="P125" s="955"/>
      <c r="Q125" s="1299"/>
      <c r="R125" s="1299"/>
      <c r="S125" s="1299"/>
    </row>
    <row r="126" spans="1:21" x14ac:dyDescent="0.25">
      <c r="A126" s="243">
        <v>101</v>
      </c>
      <c r="B126" s="243"/>
      <c r="F126" s="989"/>
      <c r="K126" s="1269"/>
      <c r="Q126" s="1299"/>
      <c r="R126" s="1299"/>
      <c r="S126" s="1299"/>
    </row>
    <row r="127" spans="1:21" ht="16.5" customHeight="1" x14ac:dyDescent="0.25">
      <c r="A127" s="243" t="s">
        <v>695</v>
      </c>
      <c r="B127" s="243" t="s">
        <v>814</v>
      </c>
      <c r="D127" s="960" t="s">
        <v>286</v>
      </c>
      <c r="E127" s="1328">
        <f>E112+0.1</f>
        <v>7.1999999999999993</v>
      </c>
      <c r="F127" s="989" t="s">
        <v>29</v>
      </c>
      <c r="J127" s="1039"/>
      <c r="K127" s="1295"/>
      <c r="L127" s="1039"/>
      <c r="M127" s="1039"/>
      <c r="N127" s="1039"/>
      <c r="O127" s="1039"/>
      <c r="Q127" s="1257"/>
      <c r="R127" s="1257"/>
      <c r="S127" s="1257"/>
    </row>
    <row r="128" spans="1:21" ht="16.5" customHeight="1" x14ac:dyDescent="0.25">
      <c r="A128" s="243"/>
      <c r="B128" s="242"/>
      <c r="F128" s="986" t="s">
        <v>384</v>
      </c>
      <c r="P128" s="1296"/>
      <c r="Q128" s="1257">
        <v>163</v>
      </c>
      <c r="R128" s="1257"/>
      <c r="S128" s="1257">
        <v>149</v>
      </c>
    </row>
    <row r="129" spans="1:20" ht="16.5" customHeight="1" x14ac:dyDescent="0.25">
      <c r="A129" s="243"/>
      <c r="B129" s="243"/>
      <c r="F129" s="986" t="s">
        <v>385</v>
      </c>
      <c r="P129" s="1296"/>
      <c r="Q129" s="1257">
        <v>225</v>
      </c>
      <c r="R129" s="1257"/>
      <c r="S129" s="1257">
        <v>240</v>
      </c>
    </row>
    <row r="130" spans="1:20" ht="16.5" customHeight="1" x14ac:dyDescent="0.25">
      <c r="A130" s="243"/>
      <c r="B130" s="243"/>
      <c r="F130" s="986" t="s">
        <v>386</v>
      </c>
      <c r="P130" s="1296"/>
      <c r="Q130" s="1257">
        <v>40</v>
      </c>
      <c r="R130" s="1257"/>
      <c r="S130" s="1257">
        <v>36</v>
      </c>
    </row>
    <row r="131" spans="1:20" ht="16.5" customHeight="1" x14ac:dyDescent="0.25">
      <c r="A131" s="243"/>
      <c r="B131" s="243"/>
      <c r="F131" s="986" t="s">
        <v>387</v>
      </c>
      <c r="P131" s="1296"/>
      <c r="Q131" s="1257">
        <v>25</v>
      </c>
      <c r="R131" s="1257"/>
      <c r="S131" s="1257">
        <v>24</v>
      </c>
    </row>
    <row r="132" spans="1:20" ht="16.5" customHeight="1" x14ac:dyDescent="0.25">
      <c r="A132" s="243"/>
      <c r="B132" s="243"/>
      <c r="F132" s="986" t="s">
        <v>388</v>
      </c>
      <c r="P132" s="1296"/>
      <c r="Q132" s="1257">
        <v>105</v>
      </c>
      <c r="R132" s="1257"/>
      <c r="S132" s="1257">
        <v>97</v>
      </c>
      <c r="T132" s="121"/>
    </row>
    <row r="133" spans="1:20" ht="16.5" customHeight="1" x14ac:dyDescent="0.25">
      <c r="A133" s="243"/>
      <c r="B133" s="243"/>
      <c r="F133" s="986" t="s">
        <v>272</v>
      </c>
      <c r="P133" s="1296"/>
      <c r="Q133" s="1257">
        <f>30+368</f>
        <v>398</v>
      </c>
      <c r="R133" s="1257"/>
      <c r="S133" s="1257">
        <v>28</v>
      </c>
    </row>
    <row r="134" spans="1:20" ht="16.5" customHeight="1" x14ac:dyDescent="0.25">
      <c r="A134" s="242"/>
      <c r="B134" s="243"/>
      <c r="D134" s="960"/>
      <c r="E134" s="1328"/>
      <c r="F134" s="989" t="s">
        <v>407</v>
      </c>
      <c r="J134" s="1039"/>
      <c r="K134" s="1295"/>
      <c r="L134" s="1039"/>
      <c r="M134" s="1039"/>
      <c r="N134" s="1039"/>
      <c r="O134" s="1039"/>
      <c r="Q134" s="1298">
        <f>SUM(Q128:Q133)</f>
        <v>956</v>
      </c>
      <c r="R134" s="1299"/>
      <c r="S134" s="1298">
        <f>SUM(S128:S133)</f>
        <v>574</v>
      </c>
      <c r="T134" s="23"/>
    </row>
    <row r="135" spans="1:20" ht="33.75" customHeight="1" x14ac:dyDescent="0.25">
      <c r="A135" s="242"/>
      <c r="B135" s="243"/>
      <c r="D135" s="960"/>
      <c r="E135" s="1328"/>
      <c r="F135" s="2223" t="s">
        <v>686</v>
      </c>
      <c r="G135" s="2223"/>
      <c r="H135" s="2223"/>
      <c r="I135" s="2223"/>
      <c r="J135" s="2223"/>
      <c r="K135" s="2223"/>
      <c r="L135" s="2223"/>
      <c r="M135" s="2223"/>
      <c r="N135" s="2223"/>
      <c r="O135" s="2223"/>
      <c r="P135" s="2223"/>
      <c r="Q135" s="2223"/>
      <c r="R135" s="2223"/>
      <c r="S135" s="2223"/>
      <c r="T135" s="23"/>
    </row>
    <row r="136" spans="1:20" ht="6" customHeight="1" thickBot="1" x14ac:dyDescent="0.3">
      <c r="A136" s="255"/>
      <c r="B136" s="243"/>
      <c r="D136" s="960"/>
      <c r="E136" s="1328"/>
      <c r="F136" s="956"/>
      <c r="G136" s="1039"/>
      <c r="H136" s="1039"/>
      <c r="I136" s="1039"/>
      <c r="J136" s="1039"/>
      <c r="K136" s="1295"/>
      <c r="L136" s="1039"/>
      <c r="M136" s="1039"/>
      <c r="N136" s="1039"/>
      <c r="O136" s="1039"/>
      <c r="Q136" s="1300"/>
      <c r="R136" s="1300"/>
      <c r="S136" s="1300"/>
      <c r="T136" s="23"/>
    </row>
    <row r="137" spans="1:20" s="246" customFormat="1" x14ac:dyDescent="0.25">
      <c r="A137" s="2222" t="s">
        <v>907</v>
      </c>
      <c r="B137" s="254"/>
      <c r="C137" s="955"/>
      <c r="D137" s="960"/>
      <c r="E137" s="1328"/>
      <c r="F137" s="1067" t="s">
        <v>1133</v>
      </c>
      <c r="G137" s="1068"/>
      <c r="H137" s="1068"/>
      <c r="I137" s="1068"/>
      <c r="J137" s="1068"/>
      <c r="K137" s="1068"/>
      <c r="L137" s="1068"/>
      <c r="M137" s="1068"/>
      <c r="N137" s="1068"/>
      <c r="O137" s="1068"/>
      <c r="P137" s="1068"/>
      <c r="Q137" s="1068"/>
      <c r="R137" s="1068"/>
      <c r="S137" s="1069"/>
      <c r="T137" s="23"/>
    </row>
    <row r="138" spans="1:20" s="246" customFormat="1" ht="9.9" customHeight="1" x14ac:dyDescent="0.25">
      <c r="A138" s="2222"/>
      <c r="B138" s="254"/>
      <c r="C138" s="955"/>
      <c r="D138" s="960"/>
      <c r="E138" s="1328"/>
      <c r="F138" s="1259"/>
      <c r="G138" s="1260"/>
      <c r="H138" s="1260"/>
      <c r="I138" s="1260"/>
      <c r="J138" s="1260"/>
      <c r="K138" s="1260"/>
      <c r="L138" s="1260"/>
      <c r="M138" s="1260"/>
      <c r="N138" s="1260"/>
      <c r="O138" s="1260"/>
      <c r="P138" s="1260"/>
      <c r="Q138" s="1260"/>
      <c r="R138" s="1260"/>
      <c r="S138" s="1261"/>
      <c r="T138" s="23"/>
    </row>
    <row r="139" spans="1:20" s="246" customFormat="1" x14ac:dyDescent="0.25">
      <c r="A139" s="2222"/>
      <c r="B139" s="254"/>
      <c r="C139" s="955"/>
      <c r="D139" s="960"/>
      <c r="E139" s="1328"/>
      <c r="F139" s="1259" t="s">
        <v>317</v>
      </c>
      <c r="G139" s="1260"/>
      <c r="H139" s="1260"/>
      <c r="I139" s="1260"/>
      <c r="J139" s="1260"/>
      <c r="K139" s="1260"/>
      <c r="L139" s="1260"/>
      <c r="M139" s="1260"/>
      <c r="N139" s="1260"/>
      <c r="O139" s="1260"/>
      <c r="P139" s="1260"/>
      <c r="Q139" s="1260"/>
      <c r="R139" s="1260"/>
      <c r="S139" s="1261"/>
      <c r="T139" s="23"/>
    </row>
    <row r="140" spans="1:20" s="246" customFormat="1" ht="31.5" customHeight="1" thickBot="1" x14ac:dyDescent="0.3">
      <c r="A140" s="2222"/>
      <c r="B140" s="256">
        <v>86</v>
      </c>
      <c r="C140" s="955"/>
      <c r="D140" s="960"/>
      <c r="E140" s="1328"/>
      <c r="F140" s="2141" t="s">
        <v>1141</v>
      </c>
      <c r="G140" s="2142"/>
      <c r="H140" s="2142"/>
      <c r="I140" s="2142"/>
      <c r="J140" s="2142"/>
      <c r="K140" s="2142"/>
      <c r="L140" s="2142"/>
      <c r="M140" s="2142"/>
      <c r="N140" s="2142"/>
      <c r="O140" s="2142"/>
      <c r="P140" s="2142"/>
      <c r="Q140" s="2142"/>
      <c r="R140" s="2142"/>
      <c r="S140" s="2143"/>
      <c r="T140" s="23"/>
    </row>
    <row r="141" spans="1:20" s="246" customFormat="1" ht="12" customHeight="1" x14ac:dyDescent="0.25">
      <c r="A141" s="242"/>
      <c r="B141" s="254"/>
      <c r="C141" s="955"/>
      <c r="D141" s="960"/>
      <c r="E141" s="1328"/>
      <c r="F141" s="956"/>
      <c r="G141" s="1039"/>
      <c r="H141" s="1039"/>
      <c r="I141" s="1039"/>
      <c r="J141" s="1039"/>
      <c r="K141" s="1295"/>
      <c r="L141" s="1039"/>
      <c r="M141" s="1039"/>
      <c r="N141" s="1039"/>
      <c r="O141" s="1039"/>
      <c r="P141" s="955"/>
      <c r="Q141" s="1300"/>
      <c r="R141" s="1300"/>
      <c r="S141" s="1300"/>
      <c r="T141" s="23"/>
    </row>
    <row r="142" spans="1:20" s="5" customFormat="1" ht="26.25" customHeight="1" x14ac:dyDescent="0.25">
      <c r="A142" s="243"/>
      <c r="B142" s="243"/>
      <c r="C142" s="1165"/>
      <c r="D142" s="960" t="s">
        <v>286</v>
      </c>
      <c r="E142" s="1328">
        <f>E127+0.1</f>
        <v>7.2999999999999989</v>
      </c>
      <c r="F142" s="956" t="s">
        <v>141</v>
      </c>
      <c r="G142" s="1165"/>
      <c r="H142" s="1165"/>
      <c r="I142" s="1165"/>
      <c r="J142" s="1230"/>
      <c r="K142" s="1265" t="s">
        <v>273</v>
      </c>
      <c r="L142" s="1267"/>
      <c r="M142" s="1301" t="s">
        <v>274</v>
      </c>
      <c r="N142" s="1302"/>
      <c r="O142" s="2234" t="s">
        <v>555</v>
      </c>
      <c r="P142" s="2234"/>
      <c r="Q142" s="1278" t="s">
        <v>102</v>
      </c>
      <c r="R142" s="1302"/>
      <c r="S142" s="1278" t="s">
        <v>103</v>
      </c>
    </row>
    <row r="143" spans="1:20" s="5" customFormat="1" x14ac:dyDescent="0.25">
      <c r="A143" s="240">
        <v>137</v>
      </c>
      <c r="B143" s="243"/>
      <c r="C143" s="1165"/>
      <c r="D143" s="960"/>
      <c r="E143" s="1328"/>
      <c r="F143" s="1236">
        <f>'Merge Details_Printing instr'!A19</f>
        <v>2024</v>
      </c>
      <c r="G143" s="1165"/>
      <c r="H143" s="1165"/>
      <c r="I143" s="1165"/>
      <c r="J143" s="1230"/>
      <c r="K143" s="1303" t="s">
        <v>118</v>
      </c>
      <c r="L143" s="1204"/>
      <c r="M143" s="1303" t="s">
        <v>80</v>
      </c>
      <c r="N143" s="1304"/>
      <c r="O143" s="1303" t="s">
        <v>80</v>
      </c>
      <c r="P143" s="988"/>
      <c r="Q143" s="1303" t="s">
        <v>80</v>
      </c>
      <c r="R143" s="988"/>
      <c r="S143" s="1303" t="s">
        <v>80</v>
      </c>
    </row>
    <row r="144" spans="1:20" ht="16.5" customHeight="1" x14ac:dyDescent="0.25">
      <c r="A144" s="240">
        <v>137</v>
      </c>
      <c r="B144" s="240" t="s">
        <v>229</v>
      </c>
      <c r="F144" s="963" t="s">
        <v>315</v>
      </c>
      <c r="K144" s="972">
        <v>2409</v>
      </c>
      <c r="L144" s="972"/>
      <c r="M144" s="1257">
        <v>4553</v>
      </c>
      <c r="N144" s="972"/>
      <c r="O144" s="1257">
        <v>0</v>
      </c>
      <c r="P144" s="972"/>
      <c r="Q144" s="1257">
        <v>1</v>
      </c>
      <c r="R144" s="972"/>
      <c r="S144" s="1257">
        <f>SUM(K144:Q144)</f>
        <v>6963</v>
      </c>
    </row>
    <row r="145" spans="1:20" ht="16.5" customHeight="1" x14ac:dyDescent="0.25">
      <c r="A145" s="240">
        <v>137</v>
      </c>
      <c r="B145" s="240" t="s">
        <v>230</v>
      </c>
      <c r="F145" s="963" t="s">
        <v>556</v>
      </c>
      <c r="K145" s="972">
        <f>434+(99/696)*434</f>
        <v>495.73275862068965</v>
      </c>
      <c r="L145" s="972"/>
      <c r="M145" s="972">
        <f>262+(99/696)*262</f>
        <v>299.26724137931035</v>
      </c>
      <c r="N145" s="972"/>
      <c r="O145" s="1257">
        <v>0</v>
      </c>
      <c r="P145" s="972"/>
      <c r="Q145" s="1257">
        <v>0</v>
      </c>
      <c r="R145" s="972"/>
      <c r="S145" s="1257">
        <f>SUM(K145:Q145)</f>
        <v>795</v>
      </c>
    </row>
    <row r="146" spans="1:20" ht="16.5" customHeight="1" x14ac:dyDescent="0.25">
      <c r="A146" s="240">
        <v>137</v>
      </c>
      <c r="B146" s="240" t="s">
        <v>231</v>
      </c>
      <c r="F146" s="963" t="s">
        <v>557</v>
      </c>
      <c r="K146" s="972">
        <f>-241-62</f>
        <v>-303</v>
      </c>
      <c r="L146" s="972"/>
      <c r="M146" s="1257">
        <f>-455-37</f>
        <v>-492</v>
      </c>
      <c r="N146" s="972"/>
      <c r="O146" s="1257">
        <v>0</v>
      </c>
      <c r="P146" s="972"/>
      <c r="Q146" s="1257">
        <v>-1</v>
      </c>
      <c r="R146" s="972"/>
      <c r="S146" s="1257">
        <f>SUM(K146:Q146)</f>
        <v>-796</v>
      </c>
    </row>
    <row r="147" spans="1:20" ht="31.5" customHeight="1" x14ac:dyDescent="0.25">
      <c r="A147" s="240">
        <v>137</v>
      </c>
      <c r="B147" s="240" t="s">
        <v>232</v>
      </c>
      <c r="F147" s="2147" t="s">
        <v>558</v>
      </c>
      <c r="G147" s="2147"/>
      <c r="H147" s="2147"/>
      <c r="I147" s="2147"/>
      <c r="K147" s="972">
        <v>0</v>
      </c>
      <c r="L147" s="972"/>
      <c r="M147" s="1257">
        <v>0</v>
      </c>
      <c r="N147" s="972"/>
      <c r="O147" s="1257">
        <v>0</v>
      </c>
      <c r="P147" s="972"/>
      <c r="Q147" s="1257">
        <v>0</v>
      </c>
      <c r="R147" s="972"/>
      <c r="S147" s="1257">
        <f>SUM(K147:Q147)</f>
        <v>0</v>
      </c>
      <c r="T147" s="1998" t="s">
        <v>2038</v>
      </c>
    </row>
    <row r="148" spans="1:20" x14ac:dyDescent="0.25">
      <c r="A148" s="142"/>
      <c r="B148" s="240" t="s">
        <v>229</v>
      </c>
      <c r="F148" s="963" t="s">
        <v>559</v>
      </c>
      <c r="K148" s="1305">
        <f>SUM(K144:K147)</f>
        <v>2601.7327586206898</v>
      </c>
      <c r="L148" s="1305"/>
      <c r="M148" s="1305">
        <f>SUM(M144:M147)</f>
        <v>4360.2672413793107</v>
      </c>
      <c r="N148" s="1305"/>
      <c r="O148" s="1305">
        <f>SUM(O144:O147)</f>
        <v>0</v>
      </c>
      <c r="P148" s="1305"/>
      <c r="Q148" s="1305">
        <f>SUM(Q144:Q147)</f>
        <v>0</v>
      </c>
      <c r="R148" s="1305"/>
      <c r="S148" s="1305">
        <f>SUM(S144:S147)</f>
        <v>6962</v>
      </c>
      <c r="T148" s="23"/>
    </row>
    <row r="149" spans="1:20" x14ac:dyDescent="0.25">
      <c r="A149" s="142"/>
      <c r="B149" s="142"/>
      <c r="K149" s="1306"/>
      <c r="L149" s="1306"/>
      <c r="M149" s="1306"/>
      <c r="N149" s="972"/>
      <c r="O149" s="1257"/>
      <c r="P149" s="1257"/>
      <c r="Q149" s="1257"/>
      <c r="R149" s="1257"/>
      <c r="S149" s="1257"/>
      <c r="T149" s="23"/>
    </row>
    <row r="150" spans="1:20" s="246" customFormat="1" x14ac:dyDescent="0.25">
      <c r="A150" s="254"/>
      <c r="B150" s="254"/>
      <c r="C150" s="955"/>
      <c r="D150" s="966"/>
      <c r="E150" s="1304"/>
      <c r="F150" s="963" t="s">
        <v>586</v>
      </c>
      <c r="G150" s="1023"/>
      <c r="H150" s="1023"/>
      <c r="I150" s="1023"/>
      <c r="J150" s="1023"/>
      <c r="K150" s="1257">
        <v>2602</v>
      </c>
      <c r="L150" s="1306"/>
      <c r="M150" s="1257">
        <v>3270</v>
      </c>
      <c r="N150" s="972"/>
      <c r="O150" s="1257">
        <v>0</v>
      </c>
      <c r="P150" s="1257"/>
      <c r="Q150" s="1257">
        <v>0</v>
      </c>
      <c r="R150" s="1257"/>
      <c r="S150" s="1257">
        <f>SUM(K150:Q150)</f>
        <v>5872</v>
      </c>
      <c r="T150" s="23"/>
    </row>
    <row r="151" spans="1:20" s="246" customFormat="1" x14ac:dyDescent="0.25">
      <c r="A151" s="254"/>
      <c r="B151" s="254"/>
      <c r="C151" s="955"/>
      <c r="D151" s="966"/>
      <c r="E151" s="1304"/>
      <c r="F151" s="963" t="s">
        <v>331</v>
      </c>
      <c r="G151" s="1023"/>
      <c r="H151" s="1023"/>
      <c r="I151" s="1023"/>
      <c r="J151" s="1023"/>
      <c r="K151" s="1306">
        <v>0</v>
      </c>
      <c r="L151" s="1306"/>
      <c r="M151" s="1257">
        <v>1090</v>
      </c>
      <c r="N151" s="972"/>
      <c r="O151" s="1257">
        <v>0</v>
      </c>
      <c r="P151" s="1257"/>
      <c r="Q151" s="1257">
        <v>0</v>
      </c>
      <c r="R151" s="1257"/>
      <c r="S151" s="1257">
        <f>SUM(K151:Q151)</f>
        <v>1090</v>
      </c>
      <c r="T151" s="23"/>
    </row>
    <row r="152" spans="1:20" s="246" customFormat="1" x14ac:dyDescent="0.25">
      <c r="A152" s="254"/>
      <c r="B152" s="254"/>
      <c r="C152" s="955"/>
      <c r="D152" s="966"/>
      <c r="E152" s="1304"/>
      <c r="F152" s="956" t="s">
        <v>103</v>
      </c>
      <c r="G152" s="1023"/>
      <c r="H152" s="1023"/>
      <c r="I152" s="1023"/>
      <c r="J152" s="1023"/>
      <c r="K152" s="1305">
        <f>SUM(K150:K151)</f>
        <v>2602</v>
      </c>
      <c r="L152" s="1305"/>
      <c r="M152" s="1305">
        <f>SUM(M150:M151)</f>
        <v>4360</v>
      </c>
      <c r="N152" s="1305"/>
      <c r="O152" s="1305">
        <f>SUM(O150:O151)</f>
        <v>0</v>
      </c>
      <c r="P152" s="1305"/>
      <c r="Q152" s="1305">
        <f>SUM(Q150:Q151)</f>
        <v>0</v>
      </c>
      <c r="R152" s="1305"/>
      <c r="S152" s="1305">
        <f>SUM(S150:S151)</f>
        <v>6962</v>
      </c>
      <c r="T152" s="23"/>
    </row>
    <row r="153" spans="1:20" s="246" customFormat="1" x14ac:dyDescent="0.25">
      <c r="A153" s="254"/>
      <c r="B153" s="254"/>
      <c r="C153" s="955"/>
      <c r="D153" s="966"/>
      <c r="E153" s="1304"/>
      <c r="F153" s="963"/>
      <c r="G153" s="1023"/>
      <c r="H153" s="1023"/>
      <c r="I153" s="1023"/>
      <c r="J153" s="1023"/>
      <c r="K153" s="1306"/>
      <c r="L153" s="1306"/>
      <c r="M153" s="1306"/>
      <c r="N153" s="972"/>
      <c r="O153" s="1257"/>
      <c r="P153" s="1257"/>
      <c r="Q153" s="1257"/>
      <c r="R153" s="1257"/>
      <c r="S153" s="1257"/>
      <c r="T153" s="23"/>
    </row>
    <row r="154" spans="1:20" s="246" customFormat="1" x14ac:dyDescent="0.25">
      <c r="A154" s="254"/>
      <c r="B154" s="254"/>
      <c r="C154" s="955"/>
      <c r="D154" s="966"/>
      <c r="E154" s="1304"/>
      <c r="F154" s="963"/>
      <c r="G154" s="1023"/>
      <c r="H154" s="1023"/>
      <c r="I154" s="1023"/>
      <c r="J154" s="1023"/>
      <c r="K154" s="1306"/>
      <c r="L154" s="1306"/>
      <c r="M154" s="1306"/>
      <c r="N154" s="972"/>
      <c r="O154" s="1257"/>
      <c r="P154" s="1257"/>
      <c r="Q154" s="1257"/>
      <c r="R154" s="1257"/>
      <c r="S154" s="1257"/>
      <c r="T154" s="23"/>
    </row>
    <row r="155" spans="1:20" ht="41.4" x14ac:dyDescent="0.25">
      <c r="A155" s="142"/>
      <c r="B155" s="142"/>
      <c r="D155" s="960" t="s">
        <v>286</v>
      </c>
      <c r="E155" s="1328">
        <f>E142</f>
        <v>7.2999999999999989</v>
      </c>
      <c r="F155" s="956" t="s">
        <v>1571</v>
      </c>
      <c r="K155" s="1265" t="s">
        <v>273</v>
      </c>
      <c r="L155" s="1267"/>
      <c r="M155" s="1301" t="s">
        <v>274</v>
      </c>
      <c r="N155" s="1302"/>
      <c r="O155" s="2234" t="s">
        <v>555</v>
      </c>
      <c r="P155" s="2234"/>
      <c r="Q155" s="1278" t="s">
        <v>102</v>
      </c>
      <c r="R155" s="1302"/>
      <c r="S155" s="1278" t="s">
        <v>103</v>
      </c>
      <c r="T155" s="23"/>
    </row>
    <row r="156" spans="1:20" s="246" customFormat="1" x14ac:dyDescent="0.25">
      <c r="A156" s="254"/>
      <c r="B156" s="254"/>
      <c r="C156" s="955"/>
      <c r="D156" s="960"/>
      <c r="E156" s="1328"/>
      <c r="F156" s="956"/>
      <c r="G156" s="1023"/>
      <c r="H156" s="1023"/>
      <c r="I156" s="1023"/>
      <c r="J156" s="1023"/>
      <c r="K156" s="1303" t="s">
        <v>118</v>
      </c>
      <c r="L156" s="1204"/>
      <c r="M156" s="1303" t="s">
        <v>80</v>
      </c>
      <c r="N156" s="1304"/>
      <c r="O156" s="1303" t="s">
        <v>80</v>
      </c>
      <c r="P156" s="988"/>
      <c r="Q156" s="1303" t="s">
        <v>80</v>
      </c>
      <c r="R156" s="988"/>
      <c r="S156" s="1303" t="s">
        <v>80</v>
      </c>
      <c r="T156" s="23"/>
    </row>
    <row r="157" spans="1:20" s="246" customFormat="1" x14ac:dyDescent="0.25">
      <c r="A157" s="254"/>
      <c r="B157" s="254"/>
      <c r="C157" s="955"/>
      <c r="D157" s="966"/>
      <c r="E157" s="1304"/>
      <c r="F157" s="1236">
        <f>'Merge Details_Printing instr'!A20</f>
        <v>2023</v>
      </c>
      <c r="G157" s="1023"/>
      <c r="H157" s="1023"/>
      <c r="I157" s="1023"/>
      <c r="J157" s="1023"/>
      <c r="K157" s="1306"/>
      <c r="L157" s="1306"/>
      <c r="M157" s="1306"/>
      <c r="N157" s="972"/>
      <c r="O157" s="1257"/>
      <c r="P157" s="1257"/>
      <c r="Q157" s="1257"/>
      <c r="R157" s="1257"/>
      <c r="S157" s="1257"/>
      <c r="T157" s="23"/>
    </row>
    <row r="158" spans="1:20" ht="16.5" customHeight="1" x14ac:dyDescent="0.25">
      <c r="A158" s="142"/>
      <c r="B158" s="142"/>
      <c r="F158" s="963" t="s">
        <v>315</v>
      </c>
      <c r="K158" s="972">
        <v>2220</v>
      </c>
      <c r="L158" s="972"/>
      <c r="M158" s="972">
        <v>4440</v>
      </c>
      <c r="N158" s="972"/>
      <c r="O158" s="1257">
        <v>0</v>
      </c>
      <c r="P158" s="972"/>
      <c r="Q158" s="1257">
        <v>1</v>
      </c>
      <c r="R158" s="972"/>
      <c r="S158" s="1257">
        <f>SUM(K158:Q158)</f>
        <v>6661</v>
      </c>
      <c r="T158" s="23"/>
    </row>
    <row r="159" spans="1:20" ht="16.5" customHeight="1" x14ac:dyDescent="0.25">
      <c r="A159" s="142"/>
      <c r="B159" s="142"/>
      <c r="F159" s="963" t="s">
        <v>556</v>
      </c>
      <c r="K159" s="972">
        <f>774/696*434</f>
        <v>482.63793103448273</v>
      </c>
      <c r="L159" s="1257"/>
      <c r="M159" s="972">
        <f>774/696*262+1</f>
        <v>292.36206896551721</v>
      </c>
      <c r="N159" s="972"/>
      <c r="O159" s="1257">
        <v>0</v>
      </c>
      <c r="P159" s="972"/>
      <c r="Q159" s="1257">
        <v>0</v>
      </c>
      <c r="R159" s="972"/>
      <c r="S159" s="1257">
        <f>SUM(K159:Q159)</f>
        <v>775</v>
      </c>
      <c r="T159" s="23"/>
    </row>
    <row r="160" spans="1:20" ht="16.5" customHeight="1" x14ac:dyDescent="0.25">
      <c r="A160" s="142"/>
      <c r="B160" s="142"/>
      <c r="F160" s="963" t="s">
        <v>557</v>
      </c>
      <c r="K160" s="972">
        <v>-294</v>
      </c>
      <c r="L160" s="1257"/>
      <c r="M160" s="972">
        <v>-179</v>
      </c>
      <c r="N160" s="972"/>
      <c r="O160" s="1257">
        <v>0</v>
      </c>
      <c r="P160" s="972"/>
      <c r="Q160" s="1257">
        <v>0</v>
      </c>
      <c r="R160" s="972"/>
      <c r="S160" s="1257">
        <f>SUM(K160:Q160)</f>
        <v>-473</v>
      </c>
      <c r="T160" s="23"/>
    </row>
    <row r="161" spans="1:21" ht="31.2" customHeight="1" x14ac:dyDescent="0.25">
      <c r="A161" s="142"/>
      <c r="B161" s="142"/>
      <c r="F161" s="2147" t="s">
        <v>558</v>
      </c>
      <c r="G161" s="2147"/>
      <c r="H161" s="2147"/>
      <c r="I161" s="2147"/>
      <c r="K161" s="972">
        <v>0</v>
      </c>
      <c r="L161" s="972"/>
      <c r="M161" s="1257">
        <v>0</v>
      </c>
      <c r="N161" s="972"/>
      <c r="O161" s="1257">
        <v>0</v>
      </c>
      <c r="P161" s="972"/>
      <c r="Q161" s="1257">
        <v>0</v>
      </c>
      <c r="R161" s="972"/>
      <c r="S161" s="1257">
        <f>SUM(K161:Q161)</f>
        <v>0</v>
      </c>
      <c r="T161" s="23"/>
    </row>
    <row r="162" spans="1:21" x14ac:dyDescent="0.25">
      <c r="A162" s="142"/>
      <c r="B162" s="142"/>
      <c r="F162" s="963" t="s">
        <v>559</v>
      </c>
      <c r="K162" s="1305">
        <f>SUM(K158:K161)</f>
        <v>2408.6379310344828</v>
      </c>
      <c r="L162" s="1305"/>
      <c r="M162" s="1305">
        <f>SUM(M158:M161)</f>
        <v>4553.3620689655172</v>
      </c>
      <c r="N162" s="1305"/>
      <c r="O162" s="1305">
        <f>SUM(O158:O161)</f>
        <v>0</v>
      </c>
      <c r="P162" s="1305"/>
      <c r="Q162" s="1305">
        <f>SUM(Q158:Q161)</f>
        <v>1</v>
      </c>
      <c r="R162" s="1305"/>
      <c r="S162" s="1305">
        <f>SUM(S158:S161)</f>
        <v>6963</v>
      </c>
      <c r="T162" s="23"/>
    </row>
    <row r="163" spans="1:21" ht="12" customHeight="1" x14ac:dyDescent="0.25">
      <c r="A163" s="142"/>
      <c r="B163" s="142"/>
      <c r="Q163" s="1300"/>
      <c r="R163" s="1300"/>
      <c r="S163" s="1300"/>
      <c r="T163" s="23"/>
    </row>
    <row r="164" spans="1:21" s="246" customFormat="1" x14ac:dyDescent="0.25">
      <c r="A164" s="254"/>
      <c r="B164" s="254"/>
      <c r="C164" s="955"/>
      <c r="D164" s="966"/>
      <c r="E164" s="1304"/>
      <c r="F164" s="963" t="s">
        <v>586</v>
      </c>
      <c r="G164" s="1023"/>
      <c r="H164" s="1023"/>
      <c r="I164" s="1023"/>
      <c r="J164" s="1023"/>
      <c r="K164" s="1257">
        <v>2409</v>
      </c>
      <c r="L164" s="1306"/>
      <c r="M164" s="1257">
        <v>3415</v>
      </c>
      <c r="N164" s="972"/>
      <c r="O164" s="1257">
        <v>0</v>
      </c>
      <c r="P164" s="1257"/>
      <c r="Q164" s="1257">
        <v>1</v>
      </c>
      <c r="R164" s="1257"/>
      <c r="S164" s="1257">
        <f>SUM(K164:Q164)</f>
        <v>5825</v>
      </c>
      <c r="T164" s="23"/>
    </row>
    <row r="165" spans="1:21" s="246" customFormat="1" x14ac:dyDescent="0.25">
      <c r="A165" s="254"/>
      <c r="B165" s="254"/>
      <c r="C165" s="955"/>
      <c r="D165" s="966"/>
      <c r="E165" s="1304"/>
      <c r="F165" s="963" t="s">
        <v>331</v>
      </c>
      <c r="G165" s="1023"/>
      <c r="H165" s="1023"/>
      <c r="I165" s="1023"/>
      <c r="J165" s="1023"/>
      <c r="K165" s="1306">
        <v>0</v>
      </c>
      <c r="L165" s="1306"/>
      <c r="M165" s="1257">
        <v>1138</v>
      </c>
      <c r="N165" s="972"/>
      <c r="O165" s="1257">
        <v>0</v>
      </c>
      <c r="P165" s="1257"/>
      <c r="Q165" s="1257">
        <v>0</v>
      </c>
      <c r="R165" s="1257"/>
      <c r="S165" s="1257">
        <f>SUM(K165:Q165)</f>
        <v>1138</v>
      </c>
      <c r="T165" s="23"/>
    </row>
    <row r="166" spans="1:21" s="246" customFormat="1" x14ac:dyDescent="0.25">
      <c r="A166" s="254"/>
      <c r="B166" s="254"/>
      <c r="C166" s="955"/>
      <c r="D166" s="966"/>
      <c r="E166" s="1304"/>
      <c r="F166" s="956" t="s">
        <v>103</v>
      </c>
      <c r="G166" s="1023"/>
      <c r="H166" s="1023"/>
      <c r="I166" s="1023"/>
      <c r="J166" s="1023"/>
      <c r="K166" s="1305">
        <f>SUM(K164:K165)</f>
        <v>2409</v>
      </c>
      <c r="L166" s="1305"/>
      <c r="M166" s="1305">
        <f>SUM(M164:M165)</f>
        <v>4553</v>
      </c>
      <c r="N166" s="1305"/>
      <c r="O166" s="1305">
        <f>SUM(O164:O165)</f>
        <v>0</v>
      </c>
      <c r="P166" s="1305"/>
      <c r="Q166" s="1305">
        <f>SUM(Q164:Q165)</f>
        <v>1</v>
      </c>
      <c r="R166" s="1305"/>
      <c r="S166" s="1305">
        <f>SUM(S164:S165)</f>
        <v>6963</v>
      </c>
      <c r="T166" s="23"/>
    </row>
    <row r="167" spans="1:21" s="246" customFormat="1" x14ac:dyDescent="0.25">
      <c r="A167" s="254"/>
      <c r="B167" s="254"/>
      <c r="C167" s="955"/>
      <c r="D167" s="966"/>
      <c r="E167" s="1304"/>
      <c r="F167" s="963"/>
      <c r="G167" s="1023"/>
      <c r="H167" s="1023"/>
      <c r="I167" s="1023"/>
      <c r="J167" s="1023"/>
      <c r="K167" s="1254"/>
      <c r="L167" s="1023"/>
      <c r="M167" s="1023"/>
      <c r="N167" s="1023"/>
      <c r="O167" s="1023"/>
      <c r="P167" s="955"/>
      <c r="Q167" s="1300"/>
      <c r="R167" s="1300"/>
      <c r="S167" s="1300"/>
      <c r="T167" s="23"/>
    </row>
    <row r="168" spans="1:21" s="246" customFormat="1" ht="6.75" customHeight="1" thickBot="1" x14ac:dyDescent="0.3">
      <c r="A168" s="640"/>
      <c r="B168" s="640"/>
      <c r="C168" s="955"/>
      <c r="D168" s="966"/>
      <c r="E168" s="1304"/>
      <c r="F168" s="989"/>
      <c r="G168" s="1023"/>
      <c r="H168" s="1023"/>
      <c r="I168" s="1023"/>
      <c r="J168" s="1201"/>
      <c r="K168" s="1201"/>
      <c r="L168" s="1201"/>
      <c r="M168" s="1201"/>
      <c r="N168" s="1201"/>
      <c r="O168" s="1201"/>
      <c r="P168" s="1201"/>
      <c r="Q168" s="1257"/>
      <c r="R168" s="1257"/>
      <c r="S168" s="1257"/>
    </row>
    <row r="169" spans="1:21" s="246" customFormat="1" ht="17.25" customHeight="1" x14ac:dyDescent="0.25">
      <c r="A169" s="256">
        <v>119</v>
      </c>
      <c r="B169" s="256"/>
      <c r="C169" s="955"/>
      <c r="D169" s="966"/>
      <c r="E169" s="1304"/>
      <c r="F169" s="1194" t="s">
        <v>1133</v>
      </c>
      <c r="G169" s="1195"/>
      <c r="H169" s="1195"/>
      <c r="I169" s="1195"/>
      <c r="J169" s="1195"/>
      <c r="K169" s="1195"/>
      <c r="L169" s="1195"/>
      <c r="M169" s="1195"/>
      <c r="N169" s="1195"/>
      <c r="O169" s="1195"/>
      <c r="P169" s="1195"/>
      <c r="Q169" s="1195"/>
      <c r="R169" s="1195"/>
      <c r="S169" s="1196"/>
    </row>
    <row r="170" spans="1:21" s="246" customFormat="1" ht="6.75" customHeight="1" x14ac:dyDescent="0.25">
      <c r="B170" s="256"/>
      <c r="C170" s="955"/>
      <c r="D170" s="966"/>
      <c r="E170" s="1304"/>
      <c r="F170" s="1162"/>
      <c r="G170" s="1163"/>
      <c r="H170" s="1163"/>
      <c r="I170" s="1163"/>
      <c r="J170" s="1163"/>
      <c r="K170" s="1163"/>
      <c r="L170" s="1163"/>
      <c r="M170" s="1163"/>
      <c r="N170" s="1163"/>
      <c r="O170" s="1163"/>
      <c r="P170" s="1163"/>
      <c r="Q170" s="1163"/>
      <c r="R170" s="1163"/>
      <c r="S170" s="1164"/>
    </row>
    <row r="171" spans="1:21" s="246" customFormat="1" ht="17.25" customHeight="1" x14ac:dyDescent="0.25">
      <c r="A171" s="256"/>
      <c r="B171" s="256" t="s">
        <v>687</v>
      </c>
      <c r="C171" s="1136"/>
      <c r="D171" s="966"/>
      <c r="E171" s="1304"/>
      <c r="F171" s="1162" t="s">
        <v>2048</v>
      </c>
      <c r="G171" s="1163"/>
      <c r="H171" s="1163"/>
      <c r="I171" s="1163"/>
      <c r="J171" s="1163"/>
      <c r="K171" s="1163"/>
      <c r="L171" s="1163"/>
      <c r="M171" s="1163"/>
      <c r="N171" s="1163"/>
      <c r="O171" s="1163"/>
      <c r="P171" s="1163"/>
      <c r="Q171" s="1163"/>
      <c r="R171" s="1163"/>
      <c r="S171" s="1164"/>
    </row>
    <row r="172" spans="1:21" s="246" customFormat="1" ht="17.25" customHeight="1" x14ac:dyDescent="0.25">
      <c r="A172" s="256"/>
      <c r="B172" s="256"/>
      <c r="C172" s="955"/>
      <c r="D172" s="966"/>
      <c r="E172" s="1304"/>
      <c r="F172" s="1307" t="s">
        <v>1142</v>
      </c>
      <c r="G172" s="1308"/>
      <c r="H172" s="1308"/>
      <c r="I172" s="1308"/>
      <c r="J172" s="1308"/>
      <c r="K172" s="1308"/>
      <c r="L172" s="1308"/>
      <c r="M172" s="1308"/>
      <c r="N172" s="1308"/>
      <c r="O172" s="1308"/>
      <c r="P172" s="1308"/>
      <c r="Q172" s="1309"/>
      <c r="R172" s="1309"/>
      <c r="S172" s="1310"/>
      <c r="U172" s="307" t="s">
        <v>2049</v>
      </c>
    </row>
    <row r="173" spans="1:21" s="246" customFormat="1" ht="74.25" customHeight="1" x14ac:dyDescent="0.25">
      <c r="A173" s="256"/>
      <c r="B173" s="256"/>
      <c r="C173" s="955"/>
      <c r="D173" s="966"/>
      <c r="E173" s="1304"/>
      <c r="F173" s="2219" t="s">
        <v>975</v>
      </c>
      <c r="G173" s="2220"/>
      <c r="H173" s="2220"/>
      <c r="I173" s="2220"/>
      <c r="J173" s="2220"/>
      <c r="K173" s="2220"/>
      <c r="L173" s="2220"/>
      <c r="M173" s="2220"/>
      <c r="N173" s="2220"/>
      <c r="O173" s="2220"/>
      <c r="P173" s="2220"/>
      <c r="Q173" s="2220"/>
      <c r="R173" s="2220"/>
      <c r="S173" s="2221"/>
    </row>
    <row r="174" spans="1:21" s="246" customFormat="1" ht="17.25" customHeight="1" x14ac:dyDescent="0.25">
      <c r="A174" s="256"/>
      <c r="B174" s="256"/>
      <c r="C174" s="955"/>
      <c r="D174" s="966"/>
      <c r="E174" s="1304"/>
      <c r="F174" s="1307" t="s">
        <v>1143</v>
      </c>
      <c r="G174" s="1308"/>
      <c r="H174" s="1308"/>
      <c r="I174" s="1308"/>
      <c r="J174" s="1308"/>
      <c r="K174" s="1308"/>
      <c r="L174" s="1308"/>
      <c r="M174" s="1308"/>
      <c r="N174" s="1308"/>
      <c r="O174" s="1308"/>
      <c r="P174" s="1308"/>
      <c r="Q174" s="1309"/>
      <c r="R174" s="1309"/>
      <c r="S174" s="1310"/>
    </row>
    <row r="175" spans="1:21" s="246" customFormat="1" ht="99.75" customHeight="1" x14ac:dyDescent="0.25">
      <c r="A175" s="256"/>
      <c r="B175" s="256"/>
      <c r="C175" s="955"/>
      <c r="D175" s="966"/>
      <c r="E175" s="1304"/>
      <c r="F175" s="2219" t="s">
        <v>906</v>
      </c>
      <c r="G175" s="2220"/>
      <c r="H175" s="2220"/>
      <c r="I175" s="2220"/>
      <c r="J175" s="2220"/>
      <c r="K175" s="2220"/>
      <c r="L175" s="2220"/>
      <c r="M175" s="2220"/>
      <c r="N175" s="2220"/>
      <c r="O175" s="2220"/>
      <c r="P175" s="2220"/>
      <c r="Q175" s="2220"/>
      <c r="R175" s="2220"/>
      <c r="S175" s="2221"/>
    </row>
    <row r="176" spans="1:21" s="246" customFormat="1" ht="30.75" customHeight="1" x14ac:dyDescent="0.25">
      <c r="A176" s="256"/>
      <c r="B176" s="256"/>
      <c r="C176" s="955"/>
      <c r="D176" s="966"/>
      <c r="E176" s="1304"/>
      <c r="F176" s="2219" t="s">
        <v>903</v>
      </c>
      <c r="G176" s="2220"/>
      <c r="H176" s="2220"/>
      <c r="I176" s="2220"/>
      <c r="J176" s="2220"/>
      <c r="K176" s="2220"/>
      <c r="L176" s="2220"/>
      <c r="M176" s="2220"/>
      <c r="N176" s="2220"/>
      <c r="O176" s="2220"/>
      <c r="P176" s="2220"/>
      <c r="Q176" s="2220"/>
      <c r="R176" s="2220"/>
      <c r="S176" s="2221"/>
    </row>
    <row r="177" spans="1:21" s="246" customFormat="1" x14ac:dyDescent="0.25">
      <c r="A177" s="256"/>
      <c r="B177" s="256"/>
      <c r="C177" s="955"/>
      <c r="D177" s="966"/>
      <c r="E177" s="1304"/>
      <c r="F177" s="1307" t="s">
        <v>1144</v>
      </c>
      <c r="G177" s="1308"/>
      <c r="H177" s="1308"/>
      <c r="I177" s="1308"/>
      <c r="J177" s="1308"/>
      <c r="K177" s="1308"/>
      <c r="L177" s="1308"/>
      <c r="M177" s="1308"/>
      <c r="N177" s="1308"/>
      <c r="O177" s="1308"/>
      <c r="P177" s="1308"/>
      <c r="Q177" s="1309"/>
      <c r="R177" s="1309"/>
      <c r="S177" s="1310"/>
    </row>
    <row r="178" spans="1:21" s="246" customFormat="1" ht="51.75" customHeight="1" x14ac:dyDescent="0.25">
      <c r="A178" s="256"/>
      <c r="B178" s="256"/>
      <c r="C178" s="955"/>
      <c r="D178" s="966"/>
      <c r="E178" s="1304"/>
      <c r="F178" s="2219" t="s">
        <v>1163</v>
      </c>
      <c r="G178" s="2220"/>
      <c r="H178" s="2220"/>
      <c r="I178" s="2220"/>
      <c r="J178" s="2220"/>
      <c r="K178" s="2220"/>
      <c r="L178" s="2220"/>
      <c r="M178" s="2220"/>
      <c r="N178" s="2220"/>
      <c r="O178" s="2220"/>
      <c r="P178" s="2220"/>
      <c r="Q178" s="2220"/>
      <c r="R178" s="2220"/>
      <c r="S178" s="2221"/>
    </row>
    <row r="179" spans="1:21" s="246" customFormat="1" ht="17.25" customHeight="1" x14ac:dyDescent="0.25">
      <c r="A179" s="256"/>
      <c r="B179" s="256"/>
      <c r="C179" s="955"/>
      <c r="D179" s="966"/>
      <c r="E179" s="1304"/>
      <c r="F179" s="1307" t="s">
        <v>1145</v>
      </c>
      <c r="G179" s="1308"/>
      <c r="H179" s="1308"/>
      <c r="I179" s="1308"/>
      <c r="J179" s="1308"/>
      <c r="K179" s="1308"/>
      <c r="L179" s="1308"/>
      <c r="M179" s="1308"/>
      <c r="N179" s="1308"/>
      <c r="O179" s="1308"/>
      <c r="P179" s="1308"/>
      <c r="Q179" s="1309"/>
      <c r="R179" s="1309"/>
      <c r="S179" s="1310"/>
    </row>
    <row r="180" spans="1:21" s="246" customFormat="1" ht="123.75" customHeight="1" x14ac:dyDescent="0.25">
      <c r="A180" s="256"/>
      <c r="B180" s="256"/>
      <c r="C180" s="955"/>
      <c r="D180" s="966"/>
      <c r="E180" s="1304"/>
      <c r="F180" s="2219" t="s">
        <v>904</v>
      </c>
      <c r="G180" s="2220"/>
      <c r="H180" s="2220"/>
      <c r="I180" s="2220"/>
      <c r="J180" s="2220"/>
      <c r="K180" s="2220"/>
      <c r="L180" s="2220"/>
      <c r="M180" s="2220"/>
      <c r="N180" s="2220"/>
      <c r="O180" s="2220"/>
      <c r="P180" s="2220"/>
      <c r="Q180" s="2220"/>
      <c r="R180" s="2220"/>
      <c r="S180" s="2221"/>
    </row>
    <row r="181" spans="1:21" s="246" customFormat="1" ht="78" customHeight="1" x14ac:dyDescent="0.25">
      <c r="A181" s="256"/>
      <c r="B181" s="256"/>
      <c r="C181" s="955"/>
      <c r="D181" s="966"/>
      <c r="E181" s="1304"/>
      <c r="F181" s="2219" t="s">
        <v>1870</v>
      </c>
      <c r="G181" s="2220"/>
      <c r="H181" s="2220"/>
      <c r="I181" s="2220"/>
      <c r="J181" s="2220"/>
      <c r="K181" s="2220"/>
      <c r="L181" s="2220"/>
      <c r="M181" s="2220"/>
      <c r="N181" s="2220"/>
      <c r="O181" s="2220"/>
      <c r="P181" s="2220"/>
      <c r="Q181" s="2220"/>
      <c r="R181" s="2220"/>
      <c r="S181" s="2221"/>
      <c r="T181" s="528" t="s">
        <v>1819</v>
      </c>
    </row>
    <row r="182" spans="1:21" s="246" customFormat="1" ht="17.25" customHeight="1" x14ac:dyDescent="0.25">
      <c r="A182" s="256"/>
      <c r="B182" s="256"/>
      <c r="C182" s="955"/>
      <c r="D182" s="966"/>
      <c r="E182" s="1304"/>
      <c r="F182" s="1307" t="s">
        <v>1146</v>
      </c>
      <c r="G182" s="1308"/>
      <c r="H182" s="1308"/>
      <c r="I182" s="1308"/>
      <c r="J182" s="1308"/>
      <c r="K182" s="1308"/>
      <c r="L182" s="1308"/>
      <c r="M182" s="1308"/>
      <c r="N182" s="1308"/>
      <c r="O182" s="1308"/>
      <c r="P182" s="1308"/>
      <c r="Q182" s="1309"/>
      <c r="R182" s="1309"/>
      <c r="S182" s="1310"/>
    </row>
    <row r="183" spans="1:21" s="246" customFormat="1" ht="38.25" customHeight="1" thickBot="1" x14ac:dyDescent="0.3">
      <c r="A183" s="256"/>
      <c r="B183" s="256"/>
      <c r="C183" s="955"/>
      <c r="D183" s="966"/>
      <c r="E183" s="1304"/>
      <c r="F183" s="2224" t="s">
        <v>905</v>
      </c>
      <c r="G183" s="2225"/>
      <c r="H183" s="2225"/>
      <c r="I183" s="2225"/>
      <c r="J183" s="2225"/>
      <c r="K183" s="2225"/>
      <c r="L183" s="2225"/>
      <c r="M183" s="2225"/>
      <c r="N183" s="2225"/>
      <c r="O183" s="2225"/>
      <c r="P183" s="2225"/>
      <c r="Q183" s="2225"/>
      <c r="R183" s="2225"/>
      <c r="S183" s="2226"/>
    </row>
    <row r="184" spans="1:21" s="246" customFormat="1" ht="9.75" customHeight="1" x14ac:dyDescent="0.25">
      <c r="A184" s="618"/>
      <c r="B184" s="524"/>
      <c r="C184" s="955"/>
      <c r="D184" s="960"/>
      <c r="E184" s="1328"/>
      <c r="F184" s="956"/>
      <c r="G184" s="986"/>
      <c r="H184" s="986"/>
      <c r="I184" s="986"/>
      <c r="J184" s="986"/>
      <c r="K184" s="986"/>
      <c r="L184" s="986"/>
      <c r="M184" s="986"/>
      <c r="N184" s="986"/>
      <c r="O184" s="986"/>
      <c r="P184" s="986"/>
      <c r="Q184" s="1311"/>
      <c r="R184" s="1311"/>
      <c r="S184" s="1311"/>
    </row>
    <row r="185" spans="1:21" s="246" customFormat="1" x14ac:dyDescent="0.25">
      <c r="A185" s="666"/>
      <c r="B185" s="666"/>
      <c r="C185" s="955"/>
      <c r="D185" s="2015" t="s">
        <v>286</v>
      </c>
      <c r="E185" s="2016">
        <f>E155</f>
        <v>7.2999999999999989</v>
      </c>
      <c r="F185" s="2017" t="s">
        <v>1571</v>
      </c>
      <c r="G185" s="1023"/>
      <c r="H185" s="1023"/>
      <c r="I185" s="1023"/>
      <c r="J185" s="1023"/>
      <c r="K185" s="1023"/>
      <c r="L185" s="1023"/>
      <c r="M185" s="1023"/>
      <c r="N185" s="1023"/>
      <c r="O185" s="1023"/>
      <c r="P185" s="1023"/>
      <c r="Q185" s="1023"/>
      <c r="R185" s="1023"/>
      <c r="S185" s="1023"/>
      <c r="T185" s="528" t="s">
        <v>2050</v>
      </c>
    </row>
    <row r="186" spans="1:21" ht="16.5" customHeight="1" x14ac:dyDescent="0.25">
      <c r="A186" s="254">
        <v>137</v>
      </c>
      <c r="B186" s="254">
        <v>85</v>
      </c>
      <c r="F186" s="1312" t="s">
        <v>492</v>
      </c>
      <c r="G186" s="1045"/>
      <c r="H186" s="1045"/>
      <c r="I186" s="1045"/>
      <c r="J186" s="1045"/>
      <c r="K186" s="1045"/>
      <c r="L186" s="1035"/>
      <c r="M186" s="1035"/>
      <c r="N186" s="1035"/>
      <c r="O186" s="1035"/>
      <c r="P186" s="1313"/>
      <c r="Q186" s="1314"/>
      <c r="R186" s="1315"/>
      <c r="S186" s="1314"/>
      <c r="U186" s="307"/>
    </row>
    <row r="187" spans="1:21" s="246" customFormat="1" ht="4.5" customHeight="1" thickBot="1" x14ac:dyDescent="0.3">
      <c r="A187" s="255"/>
      <c r="B187" s="255"/>
      <c r="C187" s="955"/>
      <c r="D187" s="966"/>
      <c r="E187" s="1304"/>
      <c r="F187" s="989"/>
      <c r="G187" s="1023"/>
      <c r="H187" s="1023"/>
      <c r="I187" s="1023"/>
      <c r="J187" s="1023"/>
      <c r="K187" s="1254"/>
      <c r="L187" s="1023"/>
      <c r="M187" s="1023"/>
      <c r="N187" s="1023"/>
      <c r="O187" s="1023"/>
      <c r="P187" s="955"/>
      <c r="Q187" s="1257"/>
      <c r="R187" s="1257"/>
      <c r="S187" s="1257"/>
    </row>
    <row r="188" spans="1:21" s="246" customFormat="1" ht="17.25" customHeight="1" x14ac:dyDescent="0.25">
      <c r="A188" s="618"/>
      <c r="B188" s="618"/>
      <c r="C188" s="955"/>
      <c r="D188" s="966"/>
      <c r="E188" s="1304"/>
      <c r="F188" s="1316" t="s">
        <v>1133</v>
      </c>
      <c r="G188" s="1317"/>
      <c r="H188" s="1317"/>
      <c r="I188" s="1317"/>
      <c r="J188" s="1317"/>
      <c r="K188" s="1317"/>
      <c r="L188" s="1317"/>
      <c r="M188" s="1317"/>
      <c r="N188" s="1317"/>
      <c r="O188" s="1317"/>
      <c r="P188" s="1317"/>
      <c r="Q188" s="1317"/>
      <c r="R188" s="1317"/>
      <c r="S188" s="1318"/>
    </row>
    <row r="189" spans="1:21" s="246" customFormat="1" ht="5.25" customHeight="1" x14ac:dyDescent="0.25">
      <c r="A189" s="254"/>
      <c r="B189" s="254"/>
      <c r="C189" s="955"/>
      <c r="D189" s="966"/>
      <c r="E189" s="1304"/>
      <c r="F189" s="1040"/>
      <c r="G189" s="1045"/>
      <c r="H189" s="1045"/>
      <c r="I189" s="1045"/>
      <c r="J189" s="1045"/>
      <c r="K189" s="1045"/>
      <c r="L189" s="1045"/>
      <c r="M189" s="1045"/>
      <c r="N189" s="1045"/>
      <c r="O189" s="1045"/>
      <c r="P189" s="1147"/>
      <c r="Q189" s="1315"/>
      <c r="R189" s="1315"/>
      <c r="S189" s="1319"/>
    </row>
    <row r="190" spans="1:21" s="246" customFormat="1" ht="16.5" customHeight="1" x14ac:dyDescent="0.25">
      <c r="A190" s="254"/>
      <c r="B190" s="254"/>
      <c r="C190" s="955"/>
      <c r="D190" s="966"/>
      <c r="E190" s="1304"/>
      <c r="F190" s="1040" t="s">
        <v>1444</v>
      </c>
      <c r="G190" s="1045"/>
      <c r="H190" s="1045"/>
      <c r="I190" s="1045"/>
      <c r="J190" s="1045"/>
      <c r="K190" s="1045"/>
      <c r="L190" s="1045"/>
      <c r="M190" s="1045"/>
      <c r="N190" s="1045"/>
      <c r="O190" s="1045"/>
      <c r="P190" s="1147"/>
      <c r="Q190" s="1315"/>
      <c r="R190" s="1315"/>
      <c r="S190" s="1319"/>
    </row>
    <row r="191" spans="1:21" ht="101.25" customHeight="1" thickBot="1" x14ac:dyDescent="0.3">
      <c r="A191" s="141"/>
      <c r="B191" s="254"/>
      <c r="F191" s="2231" t="s">
        <v>1871</v>
      </c>
      <c r="G191" s="2232"/>
      <c r="H191" s="2232"/>
      <c r="I191" s="2232"/>
      <c r="J191" s="2232"/>
      <c r="K191" s="2232"/>
      <c r="L191" s="2232"/>
      <c r="M191" s="2232"/>
      <c r="N191" s="2232"/>
      <c r="O191" s="2232"/>
      <c r="P191" s="2232"/>
      <c r="Q191" s="2232"/>
      <c r="R191" s="2232"/>
      <c r="S191" s="2233"/>
    </row>
    <row r="192" spans="1:21" ht="7.5" customHeight="1" x14ac:dyDescent="0.25">
      <c r="A192" s="255"/>
      <c r="B192" s="141"/>
      <c r="Q192" s="1320"/>
      <c r="R192" s="1300"/>
      <c r="S192" s="1320"/>
    </row>
    <row r="193" spans="1:21" s="246" customFormat="1" x14ac:dyDescent="0.25">
      <c r="A193" s="255"/>
      <c r="B193" s="255"/>
      <c r="C193" s="955"/>
      <c r="D193" s="966"/>
      <c r="E193" s="1304"/>
      <c r="F193" s="986" t="s">
        <v>1820</v>
      </c>
      <c r="G193" s="1847"/>
      <c r="H193" s="1847"/>
      <c r="I193" s="1847"/>
      <c r="J193" s="1847"/>
      <c r="K193" s="1254"/>
      <c r="L193" s="1847"/>
      <c r="M193" s="1847"/>
      <c r="N193" s="1847"/>
      <c r="O193" s="1847"/>
      <c r="P193" s="955"/>
      <c r="Q193" s="1299"/>
      <c r="R193" s="1299"/>
      <c r="S193" s="1299"/>
    </row>
    <row r="194" spans="1:21" s="246" customFormat="1" x14ac:dyDescent="0.25">
      <c r="A194" s="254">
        <v>137</v>
      </c>
      <c r="B194" s="254" t="s">
        <v>1823</v>
      </c>
      <c r="C194" s="955"/>
      <c r="D194" s="966"/>
      <c r="E194" s="1304"/>
      <c r="F194" s="986" t="s">
        <v>1821</v>
      </c>
      <c r="G194" s="1847"/>
      <c r="H194" s="1847"/>
      <c r="I194" s="1847"/>
      <c r="J194" s="1847"/>
      <c r="K194" s="1254"/>
      <c r="L194" s="1847"/>
      <c r="M194" s="1847"/>
      <c r="N194" s="1847"/>
      <c r="O194" s="1847"/>
      <c r="P194" s="955"/>
      <c r="Q194" s="1262">
        <v>0</v>
      </c>
      <c r="R194" s="1299"/>
      <c r="S194" s="1262">
        <v>0</v>
      </c>
    </row>
    <row r="195" spans="1:21" s="246" customFormat="1" x14ac:dyDescent="0.25">
      <c r="A195" s="255"/>
      <c r="B195" s="255"/>
      <c r="C195" s="955"/>
      <c r="D195" s="966"/>
      <c r="E195" s="1304"/>
      <c r="F195" s="986" t="s">
        <v>1822</v>
      </c>
      <c r="G195" s="1847"/>
      <c r="H195" s="1847"/>
      <c r="I195" s="1847"/>
      <c r="J195" s="1847"/>
      <c r="K195" s="1254"/>
      <c r="L195" s="1847"/>
      <c r="M195" s="1847"/>
      <c r="N195" s="1847"/>
      <c r="O195" s="1847"/>
      <c r="P195" s="955"/>
      <c r="Q195" s="1262">
        <v>0</v>
      </c>
      <c r="R195" s="1299"/>
      <c r="S195" s="1262">
        <v>0</v>
      </c>
    </row>
    <row r="196" spans="1:21" s="246" customFormat="1" ht="7.5" customHeight="1" x14ac:dyDescent="0.25">
      <c r="A196" s="255"/>
      <c r="B196" s="255"/>
      <c r="C196" s="955"/>
      <c r="D196" s="966"/>
      <c r="E196" s="1304"/>
      <c r="F196" s="963"/>
      <c r="G196" s="1023"/>
      <c r="H196" s="1023"/>
      <c r="I196" s="1023"/>
      <c r="J196" s="1023"/>
      <c r="K196" s="1254"/>
      <c r="L196" s="1023"/>
      <c r="M196" s="1023"/>
      <c r="N196" s="1023"/>
      <c r="O196" s="1023"/>
      <c r="P196" s="955"/>
      <c r="Q196" s="1320"/>
      <c r="R196" s="1300"/>
      <c r="S196" s="1320"/>
    </row>
    <row r="197" spans="1:21" x14ac:dyDescent="0.25">
      <c r="A197" s="141"/>
      <c r="B197" s="141"/>
      <c r="F197" s="1312" t="s">
        <v>243</v>
      </c>
      <c r="G197" s="1074"/>
      <c r="H197" s="1074"/>
      <c r="I197" s="1074"/>
      <c r="J197" s="1322"/>
      <c r="K197" s="1323"/>
      <c r="L197" s="1322"/>
      <c r="M197" s="1074"/>
      <c r="N197" s="1074"/>
      <c r="O197" s="1074"/>
      <c r="Q197" s="1320"/>
      <c r="R197" s="1300"/>
      <c r="S197" s="1320"/>
    </row>
    <row r="198" spans="1:21" x14ac:dyDescent="0.25">
      <c r="A198" s="141"/>
      <c r="B198" s="141"/>
      <c r="F198" s="1035" t="s">
        <v>1872</v>
      </c>
      <c r="G198" s="1323"/>
      <c r="H198" s="1323"/>
      <c r="I198" s="1323"/>
      <c r="J198" s="1323"/>
      <c r="K198" s="1323"/>
      <c r="L198" s="1074"/>
      <c r="M198" s="1074"/>
      <c r="N198" s="1074"/>
      <c r="O198" s="1074"/>
      <c r="Q198" s="1320"/>
      <c r="R198" s="1300"/>
      <c r="S198" s="1320"/>
    </row>
    <row r="199" spans="1:21" x14ac:dyDescent="0.25">
      <c r="A199" s="141"/>
      <c r="B199" s="141"/>
      <c r="F199" s="986" t="s">
        <v>586</v>
      </c>
      <c r="Q199" s="1262">
        <v>0</v>
      </c>
      <c r="R199" s="1257"/>
      <c r="S199" s="1262">
        <v>1</v>
      </c>
    </row>
    <row r="200" spans="1:21" x14ac:dyDescent="0.25">
      <c r="A200" s="255"/>
      <c r="B200" s="141"/>
      <c r="F200" s="986" t="s">
        <v>331</v>
      </c>
      <c r="Q200" s="1262">
        <v>0</v>
      </c>
      <c r="R200" s="1257"/>
      <c r="S200" s="1262">
        <v>0</v>
      </c>
    </row>
    <row r="201" spans="1:21" s="246" customFormat="1" x14ac:dyDescent="0.25">
      <c r="A201" s="255"/>
      <c r="B201" s="255"/>
      <c r="C201" s="955"/>
      <c r="D201" s="966"/>
      <c r="E201" s="1304"/>
      <c r="F201" s="989" t="s">
        <v>103</v>
      </c>
      <c r="G201" s="1023"/>
      <c r="H201" s="1023"/>
      <c r="I201" s="1023"/>
      <c r="J201" s="1023"/>
      <c r="K201" s="1254"/>
      <c r="L201" s="1023"/>
      <c r="M201" s="1023"/>
      <c r="N201" s="1023"/>
      <c r="O201" s="1023"/>
      <c r="P201" s="955"/>
      <c r="Q201" s="1298">
        <f>+Q199+Q200</f>
        <v>0</v>
      </c>
      <c r="R201" s="1299"/>
      <c r="S201" s="1298">
        <f>+S199+S200</f>
        <v>1</v>
      </c>
    </row>
    <row r="202" spans="1:21" s="246" customFormat="1" x14ac:dyDescent="0.25">
      <c r="A202" s="255"/>
      <c r="B202" s="255"/>
      <c r="C202" s="955"/>
      <c r="D202" s="966"/>
      <c r="E202" s="1304"/>
      <c r="F202" s="986"/>
      <c r="G202" s="1023"/>
      <c r="H202" s="1023"/>
      <c r="I202" s="1023"/>
      <c r="J202" s="1023"/>
      <c r="K202" s="1254"/>
      <c r="L202" s="1023"/>
      <c r="M202" s="1023"/>
      <c r="N202" s="1023"/>
      <c r="O202" s="1023"/>
      <c r="P202" s="955"/>
      <c r="Q202" s="1257"/>
      <c r="R202" s="1257"/>
      <c r="S202" s="1257"/>
    </row>
    <row r="203" spans="1:21" s="246" customFormat="1" x14ac:dyDescent="0.25">
      <c r="A203" s="255"/>
      <c r="B203" s="255"/>
      <c r="C203" s="955"/>
      <c r="D203" s="960" t="s">
        <v>286</v>
      </c>
      <c r="E203" s="1328">
        <f>E142+0.1</f>
        <v>7.3999999999999986</v>
      </c>
      <c r="F203" s="956" t="s">
        <v>1449</v>
      </c>
      <c r="G203" s="1023"/>
      <c r="H203" s="1023"/>
      <c r="I203" s="1023"/>
      <c r="J203" s="1023"/>
      <c r="K203" s="1254"/>
      <c r="L203" s="1023"/>
      <c r="M203" s="1023"/>
      <c r="N203" s="1023"/>
      <c r="O203" s="1023"/>
      <c r="P203" s="955"/>
      <c r="Q203" s="1257"/>
      <c r="R203" s="1257"/>
      <c r="S203" s="1257"/>
      <c r="U203" s="307"/>
    </row>
    <row r="204" spans="1:21" s="246" customFormat="1" x14ac:dyDescent="0.25">
      <c r="A204" s="255"/>
      <c r="B204" s="255"/>
      <c r="C204" s="955"/>
      <c r="D204" s="966"/>
      <c r="E204" s="1304"/>
      <c r="F204" s="986" t="s">
        <v>1449</v>
      </c>
      <c r="G204" s="1023"/>
      <c r="H204" s="1023"/>
      <c r="I204" s="1023"/>
      <c r="J204" s="1023"/>
      <c r="K204" s="1254"/>
      <c r="L204" s="1023"/>
      <c r="M204" s="1023"/>
      <c r="N204" s="1023"/>
      <c r="O204" s="1023"/>
      <c r="P204" s="955"/>
      <c r="Q204" s="1257">
        <f>S218</f>
        <v>33450</v>
      </c>
      <c r="R204" s="1257"/>
      <c r="S204" s="1257">
        <f>S223</f>
        <v>37000</v>
      </c>
    </row>
    <row r="205" spans="1:21" s="246" customFormat="1" x14ac:dyDescent="0.25">
      <c r="A205" s="255"/>
      <c r="B205" s="255"/>
      <c r="C205" s="955"/>
      <c r="D205" s="966"/>
      <c r="E205" s="1304"/>
      <c r="F205" s="1130" t="s">
        <v>1499</v>
      </c>
      <c r="G205" s="1023"/>
      <c r="H205" s="1023"/>
      <c r="I205" s="1023"/>
      <c r="J205" s="1023"/>
      <c r="K205" s="1254"/>
      <c r="L205" s="1023"/>
      <c r="M205" s="1023"/>
      <c r="N205" s="1023"/>
      <c r="O205" s="1023"/>
      <c r="P205" s="955"/>
      <c r="Q205" s="1257">
        <v>0</v>
      </c>
      <c r="R205" s="1257"/>
      <c r="S205" s="1257">
        <v>0</v>
      </c>
    </row>
    <row r="206" spans="1:21" s="246" customFormat="1" x14ac:dyDescent="0.25">
      <c r="A206" s="255"/>
      <c r="B206" s="255"/>
      <c r="C206" s="955"/>
      <c r="D206" s="966"/>
      <c r="E206" s="1304"/>
      <c r="F206" s="986"/>
      <c r="G206" s="1023"/>
      <c r="H206" s="1023"/>
      <c r="I206" s="1023"/>
      <c r="J206" s="1023"/>
      <c r="K206" s="1254"/>
      <c r="L206" s="1023"/>
      <c r="M206" s="1023"/>
      <c r="N206" s="1023"/>
      <c r="O206" s="1023"/>
      <c r="P206" s="955"/>
      <c r="Q206" s="1324">
        <f>SUM(Q204:Q205)</f>
        <v>33450</v>
      </c>
      <c r="R206" s="1257"/>
      <c r="S206" s="1324">
        <f>SUM(S204:S205)</f>
        <v>37000</v>
      </c>
    </row>
    <row r="207" spans="1:21" s="246" customFormat="1" ht="9" customHeight="1" x14ac:dyDescent="0.25">
      <c r="A207" s="255"/>
      <c r="B207" s="255"/>
      <c r="C207" s="955"/>
      <c r="D207" s="966"/>
      <c r="E207" s="1304"/>
      <c r="F207" s="986"/>
      <c r="G207" s="1023"/>
      <c r="H207" s="1023"/>
      <c r="I207" s="1023"/>
      <c r="J207" s="1023"/>
      <c r="K207" s="1254"/>
      <c r="L207" s="1023"/>
      <c r="M207" s="1023"/>
      <c r="N207" s="1023"/>
      <c r="O207" s="1023"/>
      <c r="P207" s="955"/>
      <c r="Q207" s="1257"/>
      <c r="R207" s="1257"/>
      <c r="S207" s="1257"/>
    </row>
    <row r="208" spans="1:21" s="246" customFormat="1" x14ac:dyDescent="0.25">
      <c r="A208" s="255"/>
      <c r="B208" s="255"/>
      <c r="C208" s="955"/>
      <c r="D208" s="966"/>
      <c r="E208" s="1304"/>
      <c r="F208" s="986" t="s">
        <v>586</v>
      </c>
      <c r="G208" s="1023"/>
      <c r="H208" s="1023"/>
      <c r="I208" s="1023"/>
      <c r="J208" s="1023"/>
      <c r="K208" s="1254"/>
      <c r="L208" s="1023"/>
      <c r="M208" s="1023"/>
      <c r="N208" s="1023"/>
      <c r="O208" s="1023"/>
      <c r="P208" s="955"/>
      <c r="Q208" s="1324">
        <f>H218</f>
        <v>3550</v>
      </c>
      <c r="R208" s="1257"/>
      <c r="S208" s="1324">
        <f>H223</f>
        <v>3550</v>
      </c>
    </row>
    <row r="209" spans="1:19" s="246" customFormat="1" x14ac:dyDescent="0.25">
      <c r="A209" s="255"/>
      <c r="B209" s="255"/>
      <c r="C209" s="955"/>
      <c r="D209" s="966"/>
      <c r="E209" s="1304"/>
      <c r="F209" s="986" t="s">
        <v>1456</v>
      </c>
      <c r="G209" s="1023"/>
      <c r="H209" s="1023"/>
      <c r="I209" s="1023"/>
      <c r="J209" s="1023"/>
      <c r="K209" s="1254"/>
      <c r="L209" s="1023"/>
      <c r="M209" s="1023"/>
      <c r="N209" s="1023"/>
      <c r="O209" s="1023"/>
      <c r="P209" s="955"/>
      <c r="Q209" s="1324">
        <f>S218-Q208</f>
        <v>29900</v>
      </c>
      <c r="R209" s="1257"/>
      <c r="S209" s="1324">
        <f>S223-S208</f>
        <v>33450</v>
      </c>
    </row>
    <row r="210" spans="1:19" s="246" customFormat="1" ht="12" customHeight="1" x14ac:dyDescent="0.25">
      <c r="A210" s="255"/>
      <c r="B210" s="255"/>
      <c r="C210" s="955"/>
      <c r="D210" s="966"/>
      <c r="E210" s="1304"/>
      <c r="F210" s="986"/>
      <c r="G210" s="1023"/>
      <c r="H210" s="1023"/>
      <c r="I210" s="1023"/>
      <c r="J210" s="1023"/>
      <c r="K210" s="1254"/>
      <c r="L210" s="1023"/>
      <c r="M210" s="1023"/>
      <c r="N210" s="1023"/>
      <c r="O210" s="1023"/>
      <c r="P210" s="955"/>
      <c r="Q210" s="1257"/>
      <c r="R210" s="1257"/>
      <c r="S210" s="1257"/>
    </row>
    <row r="211" spans="1:19" s="246" customFormat="1" x14ac:dyDescent="0.25">
      <c r="A211" s="631">
        <v>16</v>
      </c>
      <c r="B211" s="631">
        <v>58</v>
      </c>
      <c r="C211" s="955"/>
      <c r="D211" s="966"/>
      <c r="E211" s="1304"/>
      <c r="F211" s="986" t="s">
        <v>1786</v>
      </c>
      <c r="G211" s="1023"/>
      <c r="H211" s="1023"/>
      <c r="I211" s="1023"/>
      <c r="J211" s="1023"/>
      <c r="K211" s="1254"/>
      <c r="L211" s="1023"/>
      <c r="M211" s="955"/>
      <c r="N211" s="1023"/>
      <c r="O211" s="1023"/>
      <c r="P211" s="955"/>
      <c r="Q211" s="1257"/>
      <c r="R211" s="1257"/>
      <c r="S211" s="1257"/>
    </row>
    <row r="212" spans="1:19" s="246" customFormat="1" x14ac:dyDescent="0.25">
      <c r="A212" s="631">
        <v>7</v>
      </c>
      <c r="B212" s="631" t="s">
        <v>233</v>
      </c>
      <c r="C212" s="955"/>
      <c r="D212" s="966"/>
      <c r="E212" s="1304"/>
      <c r="F212" s="986"/>
      <c r="G212" s="1023"/>
      <c r="H212" s="2238" t="s">
        <v>1541</v>
      </c>
      <c r="I212" s="2238"/>
      <c r="J212" s="2238"/>
      <c r="K212" s="2238"/>
      <c r="L212" s="2238"/>
      <c r="M212" s="2238"/>
      <c r="N212" s="2238"/>
      <c r="O212" s="2238"/>
      <c r="P212" s="2238"/>
      <c r="Q212" s="2238"/>
      <c r="R212" s="1257"/>
      <c r="S212" s="1257"/>
    </row>
    <row r="213" spans="1:19" s="246" customFormat="1" x14ac:dyDescent="0.25">
      <c r="C213" s="955"/>
      <c r="D213" s="966"/>
      <c r="E213" s="1304"/>
      <c r="F213" s="1325" t="str">
        <f>'Merge Details_Printing instr'!A16</f>
        <v>As at 30 June 2024</v>
      </c>
      <c r="G213" s="1023"/>
      <c r="H213" s="1993" t="s">
        <v>1536</v>
      </c>
      <c r="I213" s="1326" t="s">
        <v>505</v>
      </c>
      <c r="J213" s="1994"/>
      <c r="K213" s="1327" t="s">
        <v>1531</v>
      </c>
      <c r="L213" s="1994"/>
      <c r="M213" s="1327" t="s">
        <v>1532</v>
      </c>
      <c r="N213" s="1328"/>
      <c r="O213" s="1329" t="s">
        <v>1533</v>
      </c>
      <c r="P213" s="1328"/>
      <c r="Q213" s="1328" t="s">
        <v>1534</v>
      </c>
      <c r="R213" s="985"/>
      <c r="S213" s="985" t="s">
        <v>103</v>
      </c>
    </row>
    <row r="214" spans="1:19" s="246" customFormat="1" x14ac:dyDescent="0.25">
      <c r="A214" s="255"/>
      <c r="B214" s="255"/>
      <c r="C214" s="955"/>
      <c r="D214" s="966"/>
      <c r="E214" s="1304"/>
      <c r="F214" s="986"/>
      <c r="G214" s="1023"/>
      <c r="H214" s="1993" t="s">
        <v>1537</v>
      </c>
      <c r="I214" s="1994" t="s">
        <v>1535</v>
      </c>
      <c r="J214" s="1994"/>
      <c r="K214" s="1994" t="s">
        <v>1535</v>
      </c>
      <c r="L214" s="1994"/>
      <c r="M214" s="1994" t="s">
        <v>1535</v>
      </c>
      <c r="N214" s="1994"/>
      <c r="O214" s="1994" t="s">
        <v>1535</v>
      </c>
      <c r="P214" s="1328"/>
      <c r="Q214" s="1994" t="s">
        <v>1535</v>
      </c>
      <c r="R214" s="985"/>
      <c r="S214" s="985"/>
    </row>
    <row r="215" spans="1:19" s="246" customFormat="1" x14ac:dyDescent="0.25">
      <c r="A215" s="255"/>
      <c r="B215" s="255"/>
      <c r="C215" s="955"/>
      <c r="D215" s="966"/>
      <c r="E215" s="1304"/>
      <c r="F215" s="986"/>
      <c r="G215" s="1023"/>
      <c r="H215" s="1303" t="s">
        <v>80</v>
      </c>
      <c r="I215" s="1303" t="s">
        <v>80</v>
      </c>
      <c r="J215" s="1994"/>
      <c r="K215" s="1303" t="s">
        <v>80</v>
      </c>
      <c r="L215" s="1994"/>
      <c r="M215" s="1303" t="s">
        <v>80</v>
      </c>
      <c r="N215" s="1303"/>
      <c r="O215" s="1303" t="s">
        <v>80</v>
      </c>
      <c r="P215" s="1303"/>
      <c r="Q215" s="1303" t="s">
        <v>80</v>
      </c>
      <c r="R215" s="1303"/>
      <c r="S215" s="1303" t="s">
        <v>80</v>
      </c>
    </row>
    <row r="216" spans="1:19" s="246" customFormat="1" x14ac:dyDescent="0.25">
      <c r="A216" s="631">
        <v>7</v>
      </c>
      <c r="B216" s="255" t="s">
        <v>1593</v>
      </c>
      <c r="C216" s="955"/>
      <c r="D216" s="966"/>
      <c r="E216" s="1304"/>
      <c r="F216" s="986" t="s">
        <v>1538</v>
      </c>
      <c r="G216" s="1023"/>
      <c r="H216" s="1257">
        <v>4000</v>
      </c>
      <c r="I216" s="1257">
        <v>4000</v>
      </c>
      <c r="J216" s="1257">
        <v>4000</v>
      </c>
      <c r="K216" s="1257">
        <v>4000</v>
      </c>
      <c r="L216" s="1257">
        <v>4000</v>
      </c>
      <c r="M216" s="1257">
        <v>4000</v>
      </c>
      <c r="N216" s="1257">
        <v>4000</v>
      </c>
      <c r="O216" s="1257">
        <v>4000</v>
      </c>
      <c r="P216" s="1257">
        <v>2000</v>
      </c>
      <c r="Q216" s="1257">
        <f>8000-4000</f>
        <v>4000</v>
      </c>
      <c r="R216" s="1257"/>
      <c r="S216" s="1257">
        <f>SUM(H216:Q216)</f>
        <v>38000</v>
      </c>
    </row>
    <row r="217" spans="1:19" s="246" customFormat="1" x14ac:dyDescent="0.25">
      <c r="C217" s="955"/>
      <c r="D217" s="966"/>
      <c r="E217" s="1304"/>
      <c r="F217" s="986" t="s">
        <v>1539</v>
      </c>
      <c r="G217" s="1023"/>
      <c r="H217" s="1257">
        <v>-450</v>
      </c>
      <c r="I217" s="1257">
        <v>-450</v>
      </c>
      <c r="J217" s="1257">
        <v>-450</v>
      </c>
      <c r="K217" s="1257">
        <v>-450</v>
      </c>
      <c r="L217" s="1257">
        <v>-450</v>
      </c>
      <c r="M217" s="1257">
        <v>-450</v>
      </c>
      <c r="N217" s="1257">
        <v>-450</v>
      </c>
      <c r="O217" s="1257">
        <v>-450</v>
      </c>
      <c r="P217" s="1257">
        <v>-450</v>
      </c>
      <c r="Q217" s="1257">
        <v>-500</v>
      </c>
      <c r="R217" s="1257"/>
      <c r="S217" s="1257">
        <f>SUM(H217:Q217)</f>
        <v>-4550</v>
      </c>
    </row>
    <row r="218" spans="1:19" s="246" customFormat="1" ht="15" thickBot="1" x14ac:dyDescent="0.3">
      <c r="A218" s="255"/>
      <c r="B218" s="255"/>
      <c r="C218" s="955"/>
      <c r="D218" s="966"/>
      <c r="E218" s="1304"/>
      <c r="F218" s="986" t="s">
        <v>1540</v>
      </c>
      <c r="G218" s="1023"/>
      <c r="H218" s="1330">
        <f>SUM(H216:H217)</f>
        <v>3550</v>
      </c>
      <c r="I218" s="1330">
        <f t="shared" ref="I218:R218" si="0">SUM(I216:I217)</f>
        <v>3550</v>
      </c>
      <c r="J218" s="1330">
        <f t="shared" si="0"/>
        <v>3550</v>
      </c>
      <c r="K218" s="1330">
        <f t="shared" si="0"/>
        <v>3550</v>
      </c>
      <c r="L218" s="1330">
        <f t="shared" si="0"/>
        <v>3550</v>
      </c>
      <c r="M218" s="1330">
        <f t="shared" si="0"/>
        <v>3550</v>
      </c>
      <c r="N218" s="1330">
        <f t="shared" si="0"/>
        <v>3550</v>
      </c>
      <c r="O218" s="1330">
        <f t="shared" si="0"/>
        <v>3550</v>
      </c>
      <c r="P218" s="1330">
        <f t="shared" si="0"/>
        <v>1550</v>
      </c>
      <c r="Q218" s="1330">
        <f t="shared" si="0"/>
        <v>3500</v>
      </c>
      <c r="R218" s="1330">
        <f t="shared" si="0"/>
        <v>0</v>
      </c>
      <c r="S218" s="1330">
        <f>SUM(S216:S217)</f>
        <v>33450</v>
      </c>
    </row>
    <row r="219" spans="1:19" s="246" customFormat="1" ht="9" customHeight="1" x14ac:dyDescent="0.25">
      <c r="A219" s="255"/>
      <c r="B219" s="255"/>
      <c r="C219" s="955"/>
      <c r="D219" s="966"/>
      <c r="E219" s="1304"/>
      <c r="F219" s="986"/>
      <c r="G219" s="1023"/>
      <c r="H219" s="1257"/>
      <c r="I219" s="1257"/>
      <c r="J219" s="1257"/>
      <c r="K219" s="1257"/>
      <c r="L219" s="1257"/>
      <c r="M219" s="1257"/>
      <c r="N219" s="1257"/>
      <c r="O219" s="1257"/>
      <c r="P219" s="1257"/>
      <c r="Q219" s="1257"/>
      <c r="R219" s="1257"/>
      <c r="S219" s="1257"/>
    </row>
    <row r="220" spans="1:19" s="246" customFormat="1" x14ac:dyDescent="0.25">
      <c r="A220" s="255"/>
      <c r="B220" s="255"/>
      <c r="C220" s="955"/>
      <c r="D220" s="966"/>
      <c r="E220" s="1304"/>
      <c r="F220" s="989" t="str">
        <f>'Merge Details_Printing instr'!A17</f>
        <v>As at 30 June 2023</v>
      </c>
      <c r="G220" s="1023"/>
      <c r="H220" s="1257"/>
      <c r="I220" s="1257"/>
      <c r="J220" s="1257"/>
      <c r="K220" s="1257"/>
      <c r="L220" s="1257"/>
      <c r="M220" s="1257"/>
      <c r="N220" s="1257"/>
      <c r="O220" s="1257"/>
      <c r="P220" s="1257"/>
      <c r="Q220" s="1257"/>
      <c r="R220" s="1257"/>
      <c r="S220" s="1257"/>
    </row>
    <row r="221" spans="1:19" s="246" customFormat="1" x14ac:dyDescent="0.25">
      <c r="A221" s="255"/>
      <c r="B221" s="255"/>
      <c r="C221" s="955"/>
      <c r="D221" s="966"/>
      <c r="E221" s="1304"/>
      <c r="F221" s="986" t="s">
        <v>1538</v>
      </c>
      <c r="G221" s="1023"/>
      <c r="H221" s="1257">
        <v>4000</v>
      </c>
      <c r="I221" s="1257">
        <v>4000</v>
      </c>
      <c r="J221" s="1257">
        <v>4000</v>
      </c>
      <c r="K221" s="1257">
        <v>4000</v>
      </c>
      <c r="L221" s="1257">
        <v>4000</v>
      </c>
      <c r="M221" s="1257">
        <v>4000</v>
      </c>
      <c r="N221" s="1257">
        <v>4000</v>
      </c>
      <c r="O221" s="1257">
        <v>4000</v>
      </c>
      <c r="P221" s="1257">
        <v>2000</v>
      </c>
      <c r="Q221" s="1257">
        <v>8000</v>
      </c>
      <c r="R221" s="1257"/>
      <c r="S221" s="1257">
        <f>SUM(H221:Q221)</f>
        <v>42000</v>
      </c>
    </row>
    <row r="222" spans="1:19" s="246" customFormat="1" x14ac:dyDescent="0.25">
      <c r="A222" s="255"/>
      <c r="B222" s="255"/>
      <c r="C222" s="955"/>
      <c r="D222" s="966"/>
      <c r="E222" s="1304"/>
      <c r="F222" s="986" t="s">
        <v>1539</v>
      </c>
      <c r="G222" s="1023"/>
      <c r="H222" s="1257">
        <v>-450</v>
      </c>
      <c r="I222" s="1257">
        <v>-450</v>
      </c>
      <c r="J222" s="1257">
        <v>-450</v>
      </c>
      <c r="K222" s="1257">
        <v>-450</v>
      </c>
      <c r="L222" s="1257">
        <v>-450</v>
      </c>
      <c r="M222" s="1257">
        <v>-450</v>
      </c>
      <c r="N222" s="1257">
        <v>-450</v>
      </c>
      <c r="O222" s="1257">
        <v>-450</v>
      </c>
      <c r="P222" s="1257">
        <v>-450</v>
      </c>
      <c r="Q222" s="1257">
        <v>-950</v>
      </c>
      <c r="R222" s="1257"/>
      <c r="S222" s="1257">
        <f>SUM(H222:Q222)</f>
        <v>-5000</v>
      </c>
    </row>
    <row r="223" spans="1:19" s="246" customFormat="1" ht="15" thickBot="1" x14ac:dyDescent="0.3">
      <c r="A223" s="255"/>
      <c r="B223" s="255"/>
      <c r="C223" s="955"/>
      <c r="D223" s="966"/>
      <c r="E223" s="1304"/>
      <c r="F223" s="986" t="s">
        <v>1540</v>
      </c>
      <c r="G223" s="1023"/>
      <c r="H223" s="1330">
        <f>SUM(H221:H222)</f>
        <v>3550</v>
      </c>
      <c r="I223" s="1330">
        <f t="shared" ref="I223:R223" si="1">SUM(I221:I222)</f>
        <v>3550</v>
      </c>
      <c r="J223" s="1330">
        <f t="shared" si="1"/>
        <v>3550</v>
      </c>
      <c r="K223" s="1330">
        <f t="shared" si="1"/>
        <v>3550</v>
      </c>
      <c r="L223" s="1330">
        <f t="shared" si="1"/>
        <v>3550</v>
      </c>
      <c r="M223" s="1330">
        <f t="shared" si="1"/>
        <v>3550</v>
      </c>
      <c r="N223" s="1330">
        <f t="shared" si="1"/>
        <v>3550</v>
      </c>
      <c r="O223" s="1330">
        <f t="shared" si="1"/>
        <v>3550</v>
      </c>
      <c r="P223" s="1330">
        <f t="shared" si="1"/>
        <v>1550</v>
      </c>
      <c r="Q223" s="1330">
        <f t="shared" si="1"/>
        <v>7050</v>
      </c>
      <c r="R223" s="1330">
        <f t="shared" si="1"/>
        <v>0</v>
      </c>
      <c r="S223" s="1330">
        <f>SUM(S221:S222)</f>
        <v>37000</v>
      </c>
    </row>
    <row r="224" spans="1:19" s="246" customFormat="1" ht="10.5" customHeight="1" x14ac:dyDescent="0.25">
      <c r="A224" s="255"/>
      <c r="B224" s="255"/>
      <c r="C224" s="955"/>
      <c r="D224" s="966"/>
      <c r="E224" s="1304"/>
      <c r="F224" s="986"/>
      <c r="G224" s="1023"/>
      <c r="H224" s="1023"/>
      <c r="I224" s="1023"/>
      <c r="J224" s="1023"/>
      <c r="K224" s="1254"/>
      <c r="L224" s="1023"/>
      <c r="M224" s="1023"/>
      <c r="N224" s="1023"/>
      <c r="O224" s="1023"/>
      <c r="P224" s="955"/>
      <c r="Q224" s="1257"/>
      <c r="R224" s="1257"/>
      <c r="S224" s="1257"/>
    </row>
    <row r="225" spans="1:22" s="246" customFormat="1" ht="57.75" customHeight="1" x14ac:dyDescent="0.25">
      <c r="A225" s="255"/>
      <c r="B225" s="255"/>
      <c r="C225" s="955"/>
      <c r="D225" s="966"/>
      <c r="E225" s="1304"/>
      <c r="F225" s="2230" t="s">
        <v>1731</v>
      </c>
      <c r="G225" s="2230"/>
      <c r="H225" s="2230"/>
      <c r="I225" s="2230"/>
      <c r="J225" s="2230"/>
      <c r="K225" s="2230"/>
      <c r="L225" s="2230"/>
      <c r="M225" s="2230"/>
      <c r="N225" s="2230"/>
      <c r="O225" s="2230"/>
      <c r="P225" s="2230"/>
      <c r="Q225" s="2230"/>
      <c r="R225" s="2230"/>
      <c r="S225" s="2230"/>
    </row>
    <row r="226" spans="1:22" s="246" customFormat="1" ht="19.5" customHeight="1" x14ac:dyDescent="0.25">
      <c r="A226" s="255"/>
      <c r="B226" s="255"/>
      <c r="C226" s="955"/>
      <c r="D226" s="966"/>
      <c r="E226" s="1304"/>
      <c r="F226" s="1035" t="s">
        <v>1787</v>
      </c>
      <c r="G226" s="1331"/>
      <c r="H226" s="1331"/>
      <c r="I226" s="1331"/>
      <c r="J226" s="1331"/>
      <c r="K226" s="1331"/>
      <c r="L226" s="1331"/>
      <c r="M226" s="1331"/>
      <c r="N226" s="1331"/>
      <c r="O226" s="1331"/>
      <c r="P226" s="1331"/>
      <c r="Q226" s="1331"/>
      <c r="R226" s="1331"/>
      <c r="S226" s="1331"/>
    </row>
    <row r="227" spans="1:22" s="246" customFormat="1" x14ac:dyDescent="0.25">
      <c r="A227" s="255"/>
      <c r="B227" s="255"/>
      <c r="C227" s="955"/>
      <c r="D227" s="966"/>
      <c r="E227" s="1304"/>
      <c r="F227" s="1332" t="s">
        <v>1544</v>
      </c>
      <c r="G227" s="1331"/>
      <c r="H227" s="1331"/>
      <c r="I227" s="1331"/>
      <c r="J227" s="1331"/>
      <c r="K227" s="1331"/>
      <c r="L227" s="1331"/>
      <c r="M227" s="1331"/>
      <c r="N227" s="1331"/>
      <c r="O227" s="1331"/>
      <c r="P227" s="1331"/>
      <c r="Q227" s="1331"/>
      <c r="R227" s="1331"/>
      <c r="S227" s="1331"/>
    </row>
    <row r="228" spans="1:22" s="246" customFormat="1" ht="15" thickBot="1" x14ac:dyDescent="0.3">
      <c r="A228" s="255"/>
      <c r="B228" s="255"/>
      <c r="C228" s="955"/>
      <c r="D228" s="966"/>
      <c r="E228" s="1304"/>
      <c r="F228" s="986"/>
      <c r="G228" s="1023"/>
      <c r="H228" s="1023"/>
      <c r="I228" s="1023"/>
      <c r="J228" s="1023"/>
      <c r="K228" s="1254"/>
      <c r="L228" s="1023"/>
      <c r="M228" s="1023"/>
      <c r="N228" s="1023"/>
      <c r="O228" s="1023"/>
      <c r="P228" s="955"/>
      <c r="Q228" s="1257"/>
      <c r="R228" s="1257"/>
      <c r="S228" s="1257"/>
    </row>
    <row r="229" spans="1:22" s="246" customFormat="1" x14ac:dyDescent="0.25">
      <c r="A229" s="255"/>
      <c r="B229" s="255"/>
      <c r="C229" s="955"/>
      <c r="D229" s="966"/>
      <c r="E229" s="1304"/>
      <c r="F229" s="974" t="s">
        <v>1546</v>
      </c>
      <c r="G229" s="1281"/>
      <c r="H229" s="1281"/>
      <c r="I229" s="1281"/>
      <c r="J229" s="1281"/>
      <c r="K229" s="1281"/>
      <c r="L229" s="1281"/>
      <c r="M229" s="1281"/>
      <c r="N229" s="1281"/>
      <c r="O229" s="1281"/>
      <c r="P229" s="1281"/>
      <c r="Q229" s="1281"/>
      <c r="R229" s="1281"/>
      <c r="S229" s="1282"/>
    </row>
    <row r="230" spans="1:22" s="246" customFormat="1" ht="7.5" customHeight="1" x14ac:dyDescent="0.25">
      <c r="A230" s="255"/>
      <c r="B230" s="255"/>
      <c r="C230" s="955"/>
      <c r="D230" s="966"/>
      <c r="E230" s="1304"/>
      <c r="F230" s="1283"/>
      <c r="G230" s="1284"/>
      <c r="H230" s="1284"/>
      <c r="I230" s="1284"/>
      <c r="J230" s="1284"/>
      <c r="K230" s="1284"/>
      <c r="L230" s="1284"/>
      <c r="M230" s="1284"/>
      <c r="N230" s="1284"/>
      <c r="O230" s="1284"/>
      <c r="P230" s="1284"/>
      <c r="Q230" s="1284"/>
      <c r="R230" s="1284"/>
      <c r="S230" s="1285"/>
    </row>
    <row r="231" spans="1:22" s="246" customFormat="1" x14ac:dyDescent="0.25">
      <c r="A231" s="255"/>
      <c r="B231" s="255"/>
      <c r="C231" s="955"/>
      <c r="D231" s="966"/>
      <c r="E231" s="1304"/>
      <c r="F231" s="1283" t="s">
        <v>1463</v>
      </c>
      <c r="G231" s="1284"/>
      <c r="H231" s="1284"/>
      <c r="I231" s="1284"/>
      <c r="J231" s="1284"/>
      <c r="K231" s="1284"/>
      <c r="L231" s="1284"/>
      <c r="M231" s="1284"/>
      <c r="N231" s="1284"/>
      <c r="O231" s="1284"/>
      <c r="P231" s="1284"/>
      <c r="Q231" s="1284"/>
      <c r="R231" s="1284"/>
      <c r="S231" s="1285"/>
    </row>
    <row r="232" spans="1:22" s="246" customFormat="1" ht="69" customHeight="1" x14ac:dyDescent="0.25">
      <c r="A232" s="255"/>
      <c r="B232" s="255"/>
      <c r="C232" s="955"/>
      <c r="D232" s="966"/>
      <c r="E232" s="1304"/>
      <c r="F232" s="2151" t="s">
        <v>1873</v>
      </c>
      <c r="G232" s="2152"/>
      <c r="H232" s="2152"/>
      <c r="I232" s="2152"/>
      <c r="J232" s="2152"/>
      <c r="K232" s="2152"/>
      <c r="L232" s="2152"/>
      <c r="M232" s="2152"/>
      <c r="N232" s="2152"/>
      <c r="O232" s="2152"/>
      <c r="P232" s="2152"/>
      <c r="Q232" s="2152"/>
      <c r="R232" s="2152"/>
      <c r="S232" s="2153"/>
    </row>
    <row r="233" spans="1:22" s="246" customFormat="1" ht="8.25" customHeight="1" x14ac:dyDescent="0.25">
      <c r="A233" s="255"/>
      <c r="B233" s="255"/>
      <c r="C233" s="955"/>
      <c r="D233" s="966"/>
      <c r="E233" s="1304"/>
      <c r="F233" s="1191"/>
      <c r="G233" s="1192"/>
      <c r="H233" s="1192"/>
      <c r="I233" s="1192"/>
      <c r="J233" s="1192"/>
      <c r="K233" s="1192"/>
      <c r="L233" s="1192"/>
      <c r="M233" s="1192"/>
      <c r="N233" s="1192"/>
      <c r="O233" s="1192"/>
      <c r="P233" s="1192"/>
      <c r="Q233" s="1192"/>
      <c r="R233" s="1192"/>
      <c r="S233" s="1193"/>
    </row>
    <row r="234" spans="1:22" s="246" customFormat="1" ht="69.599999999999994" customHeight="1" thickBot="1" x14ac:dyDescent="0.3">
      <c r="A234" s="255"/>
      <c r="B234" s="255"/>
      <c r="C234" s="955"/>
      <c r="D234" s="966"/>
      <c r="E234" s="1304"/>
      <c r="F234" s="2135" t="s">
        <v>1874</v>
      </c>
      <c r="G234" s="2136"/>
      <c r="H234" s="2136"/>
      <c r="I234" s="2136"/>
      <c r="J234" s="2136"/>
      <c r="K234" s="2136"/>
      <c r="L234" s="2136"/>
      <c r="M234" s="2136"/>
      <c r="N234" s="2136"/>
      <c r="O234" s="2136"/>
      <c r="P234" s="2136"/>
      <c r="Q234" s="2136"/>
      <c r="R234" s="2136"/>
      <c r="S234" s="2137"/>
      <c r="U234" s="678" t="s">
        <v>1607</v>
      </c>
      <c r="V234" s="678"/>
    </row>
    <row r="235" spans="1:22" s="246" customFormat="1" ht="7.5" customHeight="1" x14ac:dyDescent="0.25">
      <c r="A235" s="255"/>
      <c r="B235" s="255"/>
      <c r="C235" s="955"/>
      <c r="D235" s="966"/>
      <c r="E235" s="1304"/>
      <c r="F235" s="966"/>
      <c r="G235" s="966"/>
      <c r="H235" s="966"/>
      <c r="I235" s="966"/>
      <c r="J235" s="966"/>
      <c r="K235" s="966"/>
      <c r="L235" s="966"/>
      <c r="M235" s="966"/>
      <c r="N235" s="966"/>
      <c r="O235" s="966"/>
      <c r="P235" s="966"/>
      <c r="Q235" s="966"/>
      <c r="R235" s="966"/>
      <c r="S235" s="966"/>
      <c r="T235" s="52"/>
      <c r="U235" s="52"/>
    </row>
    <row r="236" spans="1:22" s="246" customFormat="1" ht="15" thickBot="1" x14ac:dyDescent="0.3">
      <c r="A236" s="255"/>
      <c r="B236" s="255"/>
      <c r="C236" s="955"/>
      <c r="D236" s="960" t="s">
        <v>286</v>
      </c>
      <c r="E236" s="1328">
        <f>E203</f>
        <v>7.3999999999999986</v>
      </c>
      <c r="F236" s="956" t="s">
        <v>1572</v>
      </c>
      <c r="G236" s="1023"/>
      <c r="H236" s="1023"/>
      <c r="I236" s="1023"/>
      <c r="J236" s="1023"/>
      <c r="K236" s="1254"/>
      <c r="L236" s="1023"/>
      <c r="M236" s="1023"/>
      <c r="N236" s="1023"/>
      <c r="O236" s="1023"/>
      <c r="P236" s="955"/>
      <c r="Q236" s="1257"/>
      <c r="R236" s="1257"/>
      <c r="S236" s="1257"/>
    </row>
    <row r="237" spans="1:22" s="52" customFormat="1" ht="20.25" customHeight="1" x14ac:dyDescent="0.25">
      <c r="A237" s="616"/>
      <c r="B237" s="649" t="s">
        <v>1524</v>
      </c>
      <c r="C237" s="966"/>
      <c r="D237" s="966"/>
      <c r="E237" s="1304"/>
      <c r="F237" s="2215" t="s">
        <v>1513</v>
      </c>
      <c r="G237" s="2216"/>
      <c r="H237" s="2216"/>
      <c r="I237" s="2216"/>
      <c r="J237" s="2216"/>
      <c r="K237" s="2216"/>
      <c r="L237" s="2216"/>
      <c r="M237" s="2216"/>
      <c r="N237" s="2216"/>
      <c r="O237" s="2216"/>
      <c r="P237" s="2216"/>
      <c r="Q237" s="2216"/>
      <c r="R237" s="2216"/>
      <c r="S237" s="2217"/>
    </row>
    <row r="238" spans="1:22" s="246" customFormat="1" ht="28.5" customHeight="1" x14ac:dyDescent="0.25">
      <c r="A238" s="255"/>
      <c r="B238" s="255"/>
      <c r="C238" s="955"/>
      <c r="D238" s="966"/>
      <c r="E238" s="1304"/>
      <c r="F238" s="2162" t="s">
        <v>1514</v>
      </c>
      <c r="G238" s="2154"/>
      <c r="H238" s="2154"/>
      <c r="I238" s="2154"/>
      <c r="J238" s="2154"/>
      <c r="K238" s="2154"/>
      <c r="L238" s="2154"/>
      <c r="M238" s="2154"/>
      <c r="N238" s="2154"/>
      <c r="O238" s="2154"/>
      <c r="P238" s="2154"/>
      <c r="Q238" s="2154"/>
      <c r="R238" s="2154"/>
      <c r="S238" s="2164"/>
      <c r="T238" s="667" t="s">
        <v>1560</v>
      </c>
    </row>
    <row r="239" spans="1:22" s="246" customFormat="1" ht="6" customHeight="1" x14ac:dyDescent="0.25">
      <c r="A239" s="255"/>
      <c r="B239" s="255"/>
      <c r="C239" s="955"/>
      <c r="D239" s="966"/>
      <c r="E239" s="1304"/>
      <c r="F239" s="1197"/>
      <c r="G239" s="1199"/>
      <c r="H239" s="1199"/>
      <c r="I239" s="1199"/>
      <c r="J239" s="1199"/>
      <c r="K239" s="1199"/>
      <c r="L239" s="1199"/>
      <c r="M239" s="1199"/>
      <c r="N239" s="1199"/>
      <c r="O239" s="1199"/>
      <c r="P239" s="1199"/>
      <c r="Q239" s="1199"/>
      <c r="R239" s="1199"/>
      <c r="S239" s="1200"/>
      <c r="T239" s="667"/>
    </row>
    <row r="240" spans="1:22" s="52" customFormat="1" ht="20.25" customHeight="1" x14ac:dyDescent="0.25">
      <c r="A240" s="616">
        <v>16</v>
      </c>
      <c r="B240" s="649" t="s">
        <v>1525</v>
      </c>
      <c r="C240" s="966"/>
      <c r="D240" s="966"/>
      <c r="E240" s="1304"/>
      <c r="F240" s="2212" t="s">
        <v>1515</v>
      </c>
      <c r="G240" s="2213"/>
      <c r="H240" s="2213"/>
      <c r="I240" s="2213"/>
      <c r="J240" s="2213"/>
      <c r="K240" s="2213"/>
      <c r="L240" s="2213"/>
      <c r="M240" s="2213"/>
      <c r="N240" s="2213"/>
      <c r="O240" s="2213"/>
      <c r="P240" s="2213"/>
      <c r="Q240" s="2213"/>
      <c r="R240" s="2213"/>
      <c r="S240" s="2214"/>
    </row>
    <row r="241" spans="1:19" s="246" customFormat="1" ht="36" customHeight="1" x14ac:dyDescent="0.25">
      <c r="A241" s="255"/>
      <c r="C241" s="955"/>
      <c r="D241" s="966"/>
      <c r="E241" s="1304"/>
      <c r="F241" s="2162" t="s">
        <v>1516</v>
      </c>
      <c r="G241" s="2154"/>
      <c r="H241" s="2154"/>
      <c r="I241" s="2154"/>
      <c r="J241" s="2154"/>
      <c r="K241" s="2154"/>
      <c r="L241" s="2154"/>
      <c r="M241" s="2154"/>
      <c r="N241" s="2154"/>
      <c r="O241" s="2154"/>
      <c r="P241" s="2154"/>
      <c r="Q241" s="2154"/>
      <c r="R241" s="2154"/>
      <c r="S241" s="2164"/>
    </row>
    <row r="242" spans="1:19" s="246" customFormat="1" ht="73.5" customHeight="1" x14ac:dyDescent="0.25">
      <c r="A242" s="255"/>
      <c r="C242" s="955"/>
      <c r="D242" s="966"/>
      <c r="E242" s="1304"/>
      <c r="F242" s="2162" t="s">
        <v>1559</v>
      </c>
      <c r="G242" s="2154"/>
      <c r="H242" s="2154"/>
      <c r="I242" s="2154"/>
      <c r="J242" s="2154"/>
      <c r="K242" s="2154"/>
      <c r="L242" s="2154"/>
      <c r="M242" s="2154"/>
      <c r="N242" s="2154"/>
      <c r="O242" s="2154"/>
      <c r="P242" s="2154"/>
      <c r="Q242" s="2154"/>
      <c r="R242" s="2154"/>
      <c r="S242" s="2164"/>
    </row>
    <row r="243" spans="1:19" s="246" customFormat="1" ht="6" customHeight="1" x14ac:dyDescent="0.25">
      <c r="A243" s="255"/>
      <c r="C243" s="955"/>
      <c r="D243" s="966"/>
      <c r="E243" s="1304"/>
      <c r="F243" s="1197"/>
      <c r="G243" s="1199"/>
      <c r="H243" s="1199"/>
      <c r="I243" s="1199"/>
      <c r="J243" s="1199"/>
      <c r="K243" s="1199"/>
      <c r="L243" s="1199"/>
      <c r="M243" s="1199"/>
      <c r="N243" s="1199"/>
      <c r="O243" s="1199"/>
      <c r="P243" s="1199"/>
      <c r="Q243" s="1199"/>
      <c r="R243" s="1199"/>
      <c r="S243" s="1200"/>
    </row>
    <row r="244" spans="1:19" s="52" customFormat="1" ht="20.25" customHeight="1" x14ac:dyDescent="0.25">
      <c r="A244" s="616"/>
      <c r="B244" s="649" t="s">
        <v>1526</v>
      </c>
      <c r="C244" s="966"/>
      <c r="D244" s="966"/>
      <c r="E244" s="1304"/>
      <c r="F244" s="2212" t="s">
        <v>1517</v>
      </c>
      <c r="G244" s="2213"/>
      <c r="H244" s="2213"/>
      <c r="I244" s="2213"/>
      <c r="J244" s="2213"/>
      <c r="K244" s="2213"/>
      <c r="L244" s="2213"/>
      <c r="M244" s="2213"/>
      <c r="N244" s="2213"/>
      <c r="O244" s="2213"/>
      <c r="P244" s="2213"/>
      <c r="Q244" s="2213"/>
      <c r="R244" s="2213"/>
      <c r="S244" s="2214"/>
    </row>
    <row r="245" spans="1:19" s="246" customFormat="1" x14ac:dyDescent="0.25">
      <c r="A245" s="255"/>
      <c r="B245" s="255"/>
      <c r="C245" s="955"/>
      <c r="D245" s="966"/>
      <c r="E245" s="1304"/>
      <c r="F245" s="2162" t="s">
        <v>1518</v>
      </c>
      <c r="G245" s="2154"/>
      <c r="H245" s="2154"/>
      <c r="I245" s="2154"/>
      <c r="J245" s="2154"/>
      <c r="K245" s="2154"/>
      <c r="L245" s="2154"/>
      <c r="M245" s="2154"/>
      <c r="N245" s="2154"/>
      <c r="O245" s="2154"/>
      <c r="P245" s="2154"/>
      <c r="Q245" s="2154"/>
      <c r="R245" s="2154"/>
      <c r="S245" s="2164"/>
    </row>
    <row r="246" spans="1:19" s="246" customFormat="1" ht="6" customHeight="1" x14ac:dyDescent="0.25">
      <c r="A246" s="255"/>
      <c r="B246" s="255"/>
      <c r="C246" s="955"/>
      <c r="D246" s="966"/>
      <c r="E246" s="1304"/>
      <c r="F246" s="1197"/>
      <c r="G246" s="1199"/>
      <c r="H246" s="1199"/>
      <c r="I246" s="1199"/>
      <c r="J246" s="1199"/>
      <c r="K246" s="1199"/>
      <c r="L246" s="1199"/>
      <c r="M246" s="1199"/>
      <c r="N246" s="1199"/>
      <c r="O246" s="1199"/>
      <c r="P246" s="1199"/>
      <c r="Q246" s="1199"/>
      <c r="R246" s="1199"/>
      <c r="S246" s="1200"/>
    </row>
    <row r="247" spans="1:19" s="52" customFormat="1" ht="20.25" customHeight="1" x14ac:dyDescent="0.25">
      <c r="A247" s="616"/>
      <c r="B247" s="649" t="s">
        <v>1528</v>
      </c>
      <c r="C247" s="966"/>
      <c r="D247" s="966"/>
      <c r="E247" s="1304"/>
      <c r="F247" s="2212" t="s">
        <v>1529</v>
      </c>
      <c r="G247" s="2213"/>
      <c r="H247" s="2213"/>
      <c r="I247" s="2213"/>
      <c r="J247" s="2213"/>
      <c r="K247" s="2213"/>
      <c r="L247" s="2213"/>
      <c r="M247" s="2213"/>
      <c r="N247" s="2213"/>
      <c r="O247" s="2213"/>
      <c r="P247" s="2213"/>
      <c r="Q247" s="2213"/>
      <c r="R247" s="2213"/>
      <c r="S247" s="2214"/>
    </row>
    <row r="248" spans="1:19" s="246" customFormat="1" x14ac:dyDescent="0.25">
      <c r="A248" s="255"/>
      <c r="B248" s="255"/>
      <c r="C248" s="955"/>
      <c r="D248" s="966"/>
      <c r="E248" s="1304"/>
      <c r="F248" s="2162" t="s">
        <v>1530</v>
      </c>
      <c r="G248" s="2154"/>
      <c r="H248" s="2154"/>
      <c r="I248" s="2154"/>
      <c r="J248" s="2154"/>
      <c r="K248" s="2154"/>
      <c r="L248" s="2154"/>
      <c r="M248" s="2154"/>
      <c r="N248" s="2154"/>
      <c r="O248" s="2154"/>
      <c r="P248" s="2154"/>
      <c r="Q248" s="2154"/>
      <c r="R248" s="2154"/>
      <c r="S248" s="2164"/>
    </row>
    <row r="249" spans="1:19" s="246" customFormat="1" ht="6" customHeight="1" x14ac:dyDescent="0.25">
      <c r="A249" s="255"/>
      <c r="B249" s="255"/>
      <c r="C249" s="955"/>
      <c r="D249" s="966"/>
      <c r="E249" s="1304"/>
      <c r="F249" s="1197"/>
      <c r="G249" s="1199"/>
      <c r="H249" s="1199"/>
      <c r="I249" s="1199"/>
      <c r="J249" s="1199"/>
      <c r="K249" s="1199"/>
      <c r="L249" s="1199"/>
      <c r="M249" s="1199"/>
      <c r="N249" s="1199"/>
      <c r="O249" s="1199"/>
      <c r="P249" s="1199"/>
      <c r="Q249" s="1199"/>
      <c r="R249" s="1199"/>
      <c r="S249" s="1200"/>
    </row>
    <row r="250" spans="1:19" s="52" customFormat="1" ht="20.25" customHeight="1" x14ac:dyDescent="0.25">
      <c r="B250" s="649" t="s">
        <v>1527</v>
      </c>
      <c r="C250" s="966"/>
      <c r="D250" s="966"/>
      <c r="E250" s="1304"/>
      <c r="F250" s="2212" t="s">
        <v>1519</v>
      </c>
      <c r="G250" s="2213"/>
      <c r="H250" s="2213"/>
      <c r="I250" s="2213"/>
      <c r="J250" s="2213"/>
      <c r="K250" s="2213"/>
      <c r="L250" s="2213"/>
      <c r="M250" s="2213"/>
      <c r="N250" s="2213"/>
      <c r="O250" s="2213"/>
      <c r="P250" s="2213"/>
      <c r="Q250" s="2213"/>
      <c r="R250" s="2213"/>
      <c r="S250" s="2214"/>
    </row>
    <row r="251" spans="1:19" s="246" customFormat="1" x14ac:dyDescent="0.25">
      <c r="B251" s="255"/>
      <c r="C251" s="955"/>
      <c r="D251" s="966"/>
      <c r="E251" s="1304"/>
      <c r="F251" s="2162" t="s">
        <v>1520</v>
      </c>
      <c r="G251" s="2154"/>
      <c r="H251" s="2154"/>
      <c r="I251" s="2154"/>
      <c r="J251" s="2154"/>
      <c r="K251" s="2154"/>
      <c r="L251" s="2154"/>
      <c r="M251" s="2154"/>
      <c r="N251" s="2154"/>
      <c r="O251" s="2154"/>
      <c r="P251" s="2154"/>
      <c r="Q251" s="2154"/>
      <c r="R251" s="2154"/>
      <c r="S251" s="2164"/>
    </row>
    <row r="252" spans="1:19" s="246" customFormat="1" ht="6" customHeight="1" x14ac:dyDescent="0.25">
      <c r="B252" s="255"/>
      <c r="C252" s="955"/>
      <c r="D252" s="966"/>
      <c r="E252" s="1304"/>
      <c r="F252" s="1197"/>
      <c r="G252" s="1199"/>
      <c r="H252" s="1199"/>
      <c r="I252" s="1199"/>
      <c r="J252" s="1199"/>
      <c r="K252" s="1199"/>
      <c r="L252" s="1199"/>
      <c r="M252" s="1199"/>
      <c r="N252" s="1199"/>
      <c r="O252" s="1199"/>
      <c r="P252" s="1199"/>
      <c r="Q252" s="1199"/>
      <c r="R252" s="1199"/>
      <c r="S252" s="1200"/>
    </row>
    <row r="253" spans="1:19" s="52" customFormat="1" ht="20.25" customHeight="1" x14ac:dyDescent="0.25">
      <c r="A253" s="616">
        <v>16</v>
      </c>
      <c r="B253" s="649" t="s">
        <v>1523</v>
      </c>
      <c r="C253" s="966"/>
      <c r="D253" s="966"/>
      <c r="E253" s="1304"/>
      <c r="F253" s="2212" t="s">
        <v>1521</v>
      </c>
      <c r="G253" s="2213"/>
      <c r="H253" s="2213"/>
      <c r="I253" s="2213"/>
      <c r="J253" s="2213"/>
      <c r="K253" s="2213"/>
      <c r="L253" s="2213"/>
      <c r="M253" s="2213"/>
      <c r="N253" s="2213"/>
      <c r="O253" s="2213"/>
      <c r="P253" s="2213"/>
      <c r="Q253" s="2213"/>
      <c r="R253" s="2213"/>
      <c r="S253" s="2214"/>
    </row>
    <row r="254" spans="1:19" s="246" customFormat="1" x14ac:dyDescent="0.25">
      <c r="A254" s="255"/>
      <c r="B254" s="255"/>
      <c r="C254" s="955"/>
      <c r="D254" s="966"/>
      <c r="E254" s="1304"/>
      <c r="F254" s="2162" t="s">
        <v>1522</v>
      </c>
      <c r="G254" s="2154"/>
      <c r="H254" s="2154"/>
      <c r="I254" s="2154"/>
      <c r="J254" s="2154"/>
      <c r="K254" s="2154"/>
      <c r="L254" s="2154"/>
      <c r="M254" s="2154"/>
      <c r="N254" s="2154"/>
      <c r="O254" s="2154"/>
      <c r="P254" s="2154"/>
      <c r="Q254" s="2154"/>
      <c r="R254" s="2154"/>
      <c r="S254" s="2164"/>
    </row>
    <row r="255" spans="1:19" s="246" customFormat="1" ht="6" customHeight="1" x14ac:dyDescent="0.25">
      <c r="A255" s="255"/>
      <c r="B255" s="255"/>
      <c r="C255" s="955"/>
      <c r="D255" s="966"/>
      <c r="E255" s="1304"/>
      <c r="F255" s="2162"/>
      <c r="G255" s="2154"/>
      <c r="H255" s="2154"/>
      <c r="I255" s="2154"/>
      <c r="J255" s="2154"/>
      <c r="K255" s="2154"/>
      <c r="L255" s="2154"/>
      <c r="M255" s="2154"/>
      <c r="N255" s="2154"/>
      <c r="O255" s="2154"/>
      <c r="P255" s="2154"/>
      <c r="Q255" s="2154"/>
      <c r="R255" s="2154"/>
      <c r="S255" s="2164"/>
    </row>
    <row r="256" spans="1:19" s="246" customFormat="1" ht="15" thickBot="1" x14ac:dyDescent="0.3">
      <c r="A256" s="255"/>
      <c r="B256" s="255"/>
      <c r="C256" s="955"/>
      <c r="D256" s="966"/>
      <c r="E256" s="1304"/>
      <c r="F256" s="2227" t="str">
        <f>"Refer to note "&amp;E60&amp;" for accounting policy related to concessionary leases. [Include if applicable]"</f>
        <v>Refer to note 6.4 for accounting policy related to concessionary leases. [Include if applicable]</v>
      </c>
      <c r="G256" s="2228"/>
      <c r="H256" s="2228"/>
      <c r="I256" s="2228"/>
      <c r="J256" s="2228"/>
      <c r="K256" s="2228"/>
      <c r="L256" s="2228"/>
      <c r="M256" s="2228"/>
      <c r="N256" s="2228"/>
      <c r="O256" s="2228"/>
      <c r="P256" s="2228"/>
      <c r="Q256" s="2228"/>
      <c r="R256" s="2228"/>
      <c r="S256" s="2229"/>
    </row>
    <row r="257" spans="1:29" s="246" customFormat="1" x14ac:dyDescent="0.25">
      <c r="A257" s="255"/>
      <c r="B257" s="255"/>
      <c r="C257" s="955"/>
      <c r="D257" s="966"/>
      <c r="E257" s="1304"/>
      <c r="F257" s="986"/>
      <c r="G257" s="1023"/>
      <c r="H257" s="1023"/>
      <c r="I257" s="1023"/>
      <c r="J257" s="1023"/>
      <c r="K257" s="1254"/>
      <c r="L257" s="1023"/>
      <c r="M257" s="1023"/>
      <c r="N257" s="1023"/>
      <c r="O257" s="1023"/>
      <c r="P257" s="955"/>
      <c r="Q257" s="1257"/>
      <c r="R257" s="1257"/>
      <c r="S257" s="1257"/>
    </row>
    <row r="258" spans="1:29" s="246" customFormat="1" x14ac:dyDescent="0.25">
      <c r="A258" s="255">
        <v>101</v>
      </c>
      <c r="B258" s="255">
        <v>60</v>
      </c>
      <c r="C258" s="955"/>
      <c r="D258" s="960" t="s">
        <v>286</v>
      </c>
      <c r="E258" s="1328">
        <f>E203+0.1</f>
        <v>7.4999999999999982</v>
      </c>
      <c r="F258" s="956" t="s">
        <v>1577</v>
      </c>
      <c r="G258" s="1023"/>
      <c r="H258" s="1023"/>
      <c r="I258" s="1023"/>
      <c r="J258" s="1023"/>
      <c r="K258" s="1254"/>
      <c r="L258" s="1023"/>
      <c r="M258" s="1023"/>
      <c r="N258" s="1023"/>
      <c r="O258" s="1023"/>
      <c r="P258" s="955"/>
      <c r="Q258" s="1257"/>
      <c r="R258" s="1257"/>
      <c r="S258" s="1257"/>
    </row>
    <row r="259" spans="1:29" s="246" customFormat="1" x14ac:dyDescent="0.25">
      <c r="A259" s="255"/>
      <c r="B259" s="255"/>
      <c r="C259" s="955"/>
      <c r="D259" s="966"/>
      <c r="E259" s="1304"/>
      <c r="F259" s="1203" t="s">
        <v>586</v>
      </c>
      <c r="G259" s="1023"/>
      <c r="H259" s="1023"/>
      <c r="I259" s="1023"/>
      <c r="J259" s="1023"/>
      <c r="K259" s="1254"/>
      <c r="L259" s="1023"/>
      <c r="M259" s="1023"/>
      <c r="N259" s="1023"/>
      <c r="O259" s="1023"/>
      <c r="P259" s="955"/>
      <c r="Q259" s="1257"/>
      <c r="R259" s="1257"/>
      <c r="S259" s="1257"/>
    </row>
    <row r="260" spans="1:29" s="246" customFormat="1" x14ac:dyDescent="0.25">
      <c r="A260" s="255">
        <v>1058</v>
      </c>
      <c r="B260" s="255"/>
      <c r="C260" s="955"/>
      <c r="D260" s="966"/>
      <c r="E260" s="1304"/>
      <c r="F260" s="986" t="s">
        <v>1942</v>
      </c>
      <c r="G260" s="1023"/>
      <c r="H260" s="1023"/>
      <c r="I260" s="1023"/>
      <c r="J260" s="1023"/>
      <c r="K260" s="1254"/>
      <c r="L260" s="1023"/>
      <c r="M260" s="1023"/>
      <c r="N260" s="1023"/>
      <c r="O260" s="1257"/>
      <c r="P260" s="955"/>
      <c r="Q260" s="1257">
        <v>600</v>
      </c>
      <c r="R260" s="1257"/>
      <c r="S260" s="1257">
        <v>600</v>
      </c>
      <c r="U260" s="301"/>
    </row>
    <row r="261" spans="1:29" s="246" customFormat="1" x14ac:dyDescent="0.25">
      <c r="A261" s="255"/>
      <c r="B261" s="255"/>
      <c r="C261" s="955"/>
      <c r="D261" s="966"/>
      <c r="E261" s="1304"/>
      <c r="F261" s="955" t="s">
        <v>1579</v>
      </c>
      <c r="G261" s="1023"/>
      <c r="H261" s="1023"/>
      <c r="I261" s="1023"/>
      <c r="J261" s="1023"/>
      <c r="K261" s="1254"/>
      <c r="L261" s="1023"/>
      <c r="M261" s="1023"/>
      <c r="N261" s="1023"/>
      <c r="O261" s="1023"/>
      <c r="P261" s="955"/>
      <c r="Q261" s="1257">
        <v>400</v>
      </c>
      <c r="R261" s="1257"/>
      <c r="S261" s="1257">
        <v>400</v>
      </c>
      <c r="U261" s="301"/>
    </row>
    <row r="262" spans="1:29" s="246" customFormat="1" x14ac:dyDescent="0.25">
      <c r="A262" s="255"/>
      <c r="B262" s="255"/>
      <c r="C262" s="955"/>
      <c r="D262" s="966"/>
      <c r="E262" s="1304"/>
      <c r="F262" s="986" t="s">
        <v>1638</v>
      </c>
      <c r="G262" s="1023"/>
      <c r="H262" s="1023"/>
      <c r="I262" s="1023"/>
      <c r="J262" s="1023"/>
      <c r="K262" s="1254"/>
      <c r="L262" s="1023"/>
      <c r="M262" s="1023"/>
      <c r="N262" s="1023"/>
      <c r="O262" s="1023"/>
      <c r="P262" s="955"/>
      <c r="Q262" s="1257">
        <v>0</v>
      </c>
      <c r="R262" s="1257"/>
      <c r="S262" s="1257">
        <v>0</v>
      </c>
      <c r="U262" s="701" t="s">
        <v>1630</v>
      </c>
    </row>
    <row r="263" spans="1:29" s="246" customFormat="1" x14ac:dyDescent="0.25">
      <c r="A263" s="255"/>
      <c r="B263" s="255"/>
      <c r="C263" s="955"/>
      <c r="D263" s="966"/>
      <c r="E263" s="1304"/>
      <c r="F263" s="1203"/>
      <c r="G263" s="1023"/>
      <c r="H263" s="1023"/>
      <c r="I263" s="1023"/>
      <c r="J263" s="1023"/>
      <c r="K263" s="1254"/>
      <c r="L263" s="1023"/>
      <c r="M263" s="1023"/>
      <c r="N263" s="1023"/>
      <c r="O263" s="1023"/>
      <c r="P263" s="955"/>
      <c r="Q263" s="1324">
        <f>SUM(Q260:Q262)</f>
        <v>1000</v>
      </c>
      <c r="R263" s="1257">
        <f>SUM(R260:R260)</f>
        <v>0</v>
      </c>
      <c r="S263" s="1324">
        <f>SUM(S260:S262)</f>
        <v>1000</v>
      </c>
      <c r="U263" s="23">
        <f>Q263-S263</f>
        <v>0</v>
      </c>
    </row>
    <row r="264" spans="1:29" s="246" customFormat="1" x14ac:dyDescent="0.25">
      <c r="A264" s="255"/>
      <c r="B264" s="255"/>
      <c r="C264" s="955"/>
      <c r="D264" s="966"/>
      <c r="E264" s="1304"/>
      <c r="F264" s="1333" t="s">
        <v>331</v>
      </c>
      <c r="G264" s="1023"/>
      <c r="H264" s="1023"/>
      <c r="I264" s="1023"/>
      <c r="J264" s="1023"/>
      <c r="K264" s="1254"/>
      <c r="L264" s="1023"/>
      <c r="M264" s="1023"/>
      <c r="N264" s="1023"/>
      <c r="O264" s="986"/>
      <c r="P264" s="955"/>
      <c r="Q264" s="1257"/>
      <c r="R264" s="1257"/>
      <c r="S264" s="1257"/>
    </row>
    <row r="265" spans="1:29" s="246" customFormat="1" x14ac:dyDescent="0.25">
      <c r="A265" s="255"/>
      <c r="B265" s="255"/>
      <c r="C265" s="955"/>
      <c r="D265" s="966"/>
      <c r="E265" s="1304"/>
      <c r="F265" s="1130" t="s">
        <v>59</v>
      </c>
      <c r="G265" s="1023"/>
      <c r="H265" s="1023"/>
      <c r="I265" s="1023"/>
      <c r="J265" s="1023"/>
      <c r="K265" s="1254"/>
      <c r="L265" s="1023"/>
      <c r="M265" s="1023"/>
      <c r="N265" s="1023"/>
      <c r="O265" s="1023"/>
      <c r="P265" s="955"/>
      <c r="Q265" s="1324">
        <v>0</v>
      </c>
      <c r="R265" s="1257"/>
      <c r="S265" s="1324">
        <v>0</v>
      </c>
      <c r="U265" s="52"/>
      <c r="V265" s="52"/>
      <c r="W265" s="52"/>
      <c r="X265" s="52"/>
      <c r="Y265" s="52"/>
      <c r="Z265" s="52"/>
      <c r="AA265" s="52"/>
      <c r="AB265" s="52"/>
    </row>
    <row r="266" spans="1:29" s="246" customFormat="1" ht="11.25" customHeight="1" thickBot="1" x14ac:dyDescent="0.3">
      <c r="A266" s="255"/>
      <c r="B266" s="255"/>
      <c r="C266" s="955"/>
      <c r="D266" s="966"/>
      <c r="E266" s="1304"/>
      <c r="F266" s="986"/>
      <c r="G266" s="1023"/>
      <c r="H266" s="1023"/>
      <c r="I266" s="1023"/>
      <c r="J266" s="1023"/>
      <c r="K266" s="1254"/>
      <c r="L266" s="1023"/>
      <c r="M266" s="1023"/>
      <c r="N266" s="1023"/>
      <c r="O266" s="1023"/>
      <c r="P266" s="955"/>
      <c r="Q266" s="1257"/>
      <c r="R266" s="1257"/>
      <c r="S266" s="1257"/>
      <c r="U266" s="52"/>
      <c r="V266" s="52"/>
      <c r="W266" s="52"/>
      <c r="X266" s="52"/>
      <c r="Y266" s="52"/>
      <c r="Z266" s="52"/>
      <c r="AA266" s="52"/>
      <c r="AB266" s="52"/>
    </row>
    <row r="267" spans="1:29" s="246" customFormat="1" x14ac:dyDescent="0.25">
      <c r="A267" s="255"/>
      <c r="B267" s="255"/>
      <c r="C267" s="955"/>
      <c r="D267" s="966"/>
      <c r="E267" s="1304"/>
      <c r="F267" s="2176" t="s">
        <v>1133</v>
      </c>
      <c r="G267" s="2177"/>
      <c r="H267" s="2177"/>
      <c r="I267" s="2177"/>
      <c r="J267" s="2177"/>
      <c r="K267" s="2177"/>
      <c r="L267" s="2177"/>
      <c r="M267" s="2177"/>
      <c r="N267" s="2177"/>
      <c r="O267" s="2177"/>
      <c r="P267" s="2177"/>
      <c r="Q267" s="2177"/>
      <c r="R267" s="2177"/>
      <c r="S267" s="2178"/>
      <c r="U267" s="2218" t="s">
        <v>1652</v>
      </c>
      <c r="V267" s="2218"/>
      <c r="W267" s="2218"/>
      <c r="X267" s="2218"/>
      <c r="Y267" s="2218"/>
      <c r="Z267" s="2218"/>
      <c r="AA267" s="2218"/>
      <c r="AB267" s="2218"/>
      <c r="AC267" s="2218"/>
    </row>
    <row r="268" spans="1:29" s="246" customFormat="1" ht="6.75" customHeight="1" x14ac:dyDescent="0.25">
      <c r="A268" s="255"/>
      <c r="B268" s="255"/>
      <c r="C268" s="955"/>
      <c r="D268" s="966"/>
      <c r="E268" s="1304"/>
      <c r="F268" s="1162"/>
      <c r="G268" s="1163"/>
      <c r="H268" s="1163"/>
      <c r="I268" s="1163"/>
      <c r="J268" s="1163"/>
      <c r="K268" s="1163"/>
      <c r="L268" s="1163"/>
      <c r="M268" s="1163"/>
      <c r="N268" s="1163"/>
      <c r="O268" s="1163"/>
      <c r="P268" s="1163"/>
      <c r="Q268" s="1163"/>
      <c r="R268" s="1163"/>
      <c r="S268" s="1164"/>
      <c r="U268" s="2218"/>
      <c r="V268" s="2218"/>
      <c r="W268" s="2218"/>
      <c r="X268" s="2218"/>
      <c r="Y268" s="2218"/>
      <c r="Z268" s="2218"/>
      <c r="AA268" s="2218"/>
      <c r="AB268" s="2218"/>
      <c r="AC268" s="2218"/>
    </row>
    <row r="269" spans="1:29" s="246" customFormat="1" ht="16.5" customHeight="1" x14ac:dyDescent="0.25">
      <c r="A269" s="255"/>
      <c r="B269" s="255"/>
      <c r="C269" s="955"/>
      <c r="D269" s="966"/>
      <c r="E269" s="1304"/>
      <c r="F269" s="2208" t="s">
        <v>1780</v>
      </c>
      <c r="G269" s="2209"/>
      <c r="H269" s="2209"/>
      <c r="I269" s="2209"/>
      <c r="J269" s="2209"/>
      <c r="K269" s="2209"/>
      <c r="L269" s="2209"/>
      <c r="M269" s="2209"/>
      <c r="N269" s="2209"/>
      <c r="O269" s="2209"/>
      <c r="P269" s="2209"/>
      <c r="Q269" s="2209"/>
      <c r="R269" s="2209"/>
      <c r="S269" s="2210"/>
      <c r="U269" s="2218"/>
      <c r="V269" s="2218"/>
      <c r="W269" s="2218"/>
      <c r="X269" s="2218"/>
      <c r="Y269" s="2218"/>
      <c r="Z269" s="2218"/>
      <c r="AA269" s="2218"/>
      <c r="AB269" s="2218"/>
      <c r="AC269" s="2218"/>
    </row>
    <row r="270" spans="1:29" s="246" customFormat="1" ht="72" customHeight="1" x14ac:dyDescent="0.25">
      <c r="A270" s="631">
        <v>1058</v>
      </c>
      <c r="B270" s="631" t="s">
        <v>1650</v>
      </c>
      <c r="C270" s="955"/>
      <c r="D270" s="966"/>
      <c r="E270" s="1304"/>
      <c r="F270" s="2219" t="s">
        <v>1875</v>
      </c>
      <c r="G270" s="2220"/>
      <c r="H270" s="2220"/>
      <c r="I270" s="2220"/>
      <c r="J270" s="2220"/>
      <c r="K270" s="2220"/>
      <c r="L270" s="2220"/>
      <c r="M270" s="2220"/>
      <c r="N270" s="2220"/>
      <c r="O270" s="2220"/>
      <c r="P270" s="2220"/>
      <c r="Q270" s="2220"/>
      <c r="R270" s="2220"/>
      <c r="S270" s="2221"/>
      <c r="U270" s="2218"/>
      <c r="V270" s="2218"/>
      <c r="W270" s="2218"/>
      <c r="X270" s="2218"/>
      <c r="Y270" s="2218"/>
      <c r="Z270" s="2218"/>
      <c r="AA270" s="2218"/>
      <c r="AB270" s="2218"/>
      <c r="AC270" s="2218"/>
    </row>
    <row r="271" spans="1:29" s="246" customFormat="1" ht="37.5" customHeight="1" x14ac:dyDescent="0.25">
      <c r="A271" s="254">
        <v>15</v>
      </c>
      <c r="B271" s="708" t="s">
        <v>1651</v>
      </c>
      <c r="C271" s="955"/>
      <c r="D271" s="966"/>
      <c r="E271" s="1304"/>
      <c r="F271" s="2219" t="s">
        <v>1781</v>
      </c>
      <c r="G271" s="2220"/>
      <c r="H271" s="2220"/>
      <c r="I271" s="2220"/>
      <c r="J271" s="2220"/>
      <c r="K271" s="2220"/>
      <c r="L271" s="2220"/>
      <c r="M271" s="2220"/>
      <c r="N271" s="2220"/>
      <c r="O271" s="2220"/>
      <c r="P271" s="2220"/>
      <c r="Q271" s="2220"/>
      <c r="R271" s="2220"/>
      <c r="S271" s="2221"/>
      <c r="U271" s="2218"/>
      <c r="V271" s="2218"/>
      <c r="W271" s="2218"/>
      <c r="X271" s="2218"/>
      <c r="Y271" s="2218"/>
      <c r="Z271" s="2218"/>
      <c r="AA271" s="2218"/>
      <c r="AB271" s="2218"/>
      <c r="AC271" s="2218"/>
    </row>
    <row r="272" spans="1:29" s="246" customFormat="1" ht="42" customHeight="1" thickBot="1" x14ac:dyDescent="0.3">
      <c r="A272" s="254"/>
      <c r="B272" s="255"/>
      <c r="C272" s="955"/>
      <c r="D272" s="966"/>
      <c r="E272" s="1304"/>
      <c r="F272" s="2135" t="s">
        <v>1639</v>
      </c>
      <c r="G272" s="2136"/>
      <c r="H272" s="2136"/>
      <c r="I272" s="2136"/>
      <c r="J272" s="2136"/>
      <c r="K272" s="2136"/>
      <c r="L272" s="2136"/>
      <c r="M272" s="2136"/>
      <c r="N272" s="2136"/>
      <c r="O272" s="2136"/>
      <c r="P272" s="2136"/>
      <c r="Q272" s="2136"/>
      <c r="R272" s="2136"/>
      <c r="S272" s="2137"/>
      <c r="U272" s="2218"/>
      <c r="V272" s="2218"/>
      <c r="W272" s="2218"/>
      <c r="X272" s="2218"/>
      <c r="Y272" s="2218"/>
      <c r="Z272" s="2218"/>
      <c r="AA272" s="2218"/>
      <c r="AB272" s="2218"/>
      <c r="AC272" s="2218"/>
    </row>
    <row r="273" spans="1:29" s="246" customFormat="1" x14ac:dyDescent="0.25">
      <c r="A273" s="254"/>
      <c r="B273" s="255"/>
      <c r="C273" s="955"/>
      <c r="D273" s="966"/>
      <c r="E273" s="1304"/>
      <c r="F273" s="966"/>
      <c r="G273" s="966"/>
      <c r="H273" s="966"/>
      <c r="I273" s="966"/>
      <c r="J273" s="966"/>
      <c r="K273" s="966"/>
      <c r="L273" s="966"/>
      <c r="M273" s="966"/>
      <c r="N273" s="966"/>
      <c r="O273" s="966"/>
      <c r="P273" s="966"/>
      <c r="Q273" s="966"/>
      <c r="R273" s="966"/>
      <c r="S273" s="966"/>
      <c r="U273" s="2218"/>
      <c r="V273" s="2218"/>
      <c r="W273" s="2218"/>
      <c r="X273" s="2218"/>
      <c r="Y273" s="2218"/>
      <c r="Z273" s="2218"/>
      <c r="AA273" s="2218"/>
      <c r="AB273" s="2218"/>
      <c r="AC273" s="2218"/>
    </row>
    <row r="274" spans="1:29" s="246" customFormat="1" x14ac:dyDescent="0.25">
      <c r="A274" s="254"/>
      <c r="B274" s="255"/>
      <c r="C274" s="955"/>
      <c r="D274" s="966"/>
      <c r="E274" s="1304"/>
      <c r="F274" s="1334" t="s">
        <v>1645</v>
      </c>
      <c r="G274" s="1141"/>
      <c r="H274" s="1141"/>
      <c r="I274" s="1141"/>
      <c r="J274" s="1141"/>
      <c r="K274" s="1141"/>
      <c r="L274" s="1141"/>
      <c r="M274" s="1141"/>
      <c r="N274" s="1141"/>
      <c r="O274" s="1141"/>
      <c r="P274" s="1141"/>
      <c r="Q274" s="1141"/>
      <c r="R274" s="1141"/>
      <c r="S274" s="1141"/>
      <c r="U274" s="2218"/>
      <c r="V274" s="2218"/>
      <c r="W274" s="2218"/>
      <c r="X274" s="2218"/>
      <c r="Y274" s="2218"/>
      <c r="Z274" s="2218"/>
      <c r="AA274" s="2218"/>
      <c r="AB274" s="2218"/>
      <c r="AC274" s="2218"/>
    </row>
    <row r="275" spans="1:29" s="246" customFormat="1" x14ac:dyDescent="0.25">
      <c r="A275" s="254">
        <v>1058</v>
      </c>
      <c r="B275" s="254">
        <v>31</v>
      </c>
      <c r="C275" s="955"/>
      <c r="D275" s="966"/>
      <c r="E275" s="1304"/>
      <c r="F275" s="1141" t="s">
        <v>1646</v>
      </c>
      <c r="G275" s="1141"/>
      <c r="H275" s="1141"/>
      <c r="I275" s="1141"/>
      <c r="J275" s="1141"/>
      <c r="K275" s="1141"/>
      <c r="L275" s="1141"/>
      <c r="M275" s="1141"/>
      <c r="N275" s="1141"/>
      <c r="O275" s="1141"/>
      <c r="P275" s="1141"/>
      <c r="Q275" s="1335">
        <v>10</v>
      </c>
      <c r="R275" s="1335"/>
      <c r="S275" s="1335">
        <v>10</v>
      </c>
      <c r="U275" s="2218"/>
      <c r="V275" s="2218"/>
      <c r="W275" s="2218"/>
      <c r="X275" s="2218"/>
      <c r="Y275" s="2218"/>
      <c r="Z275" s="2218"/>
      <c r="AA275" s="2218"/>
      <c r="AB275" s="2218"/>
      <c r="AC275" s="2218"/>
    </row>
    <row r="276" spans="1:29" s="246" customFormat="1" x14ac:dyDescent="0.25">
      <c r="A276" s="254">
        <v>15</v>
      </c>
      <c r="B276" s="708">
        <v>116117</v>
      </c>
      <c r="C276" s="955"/>
      <c r="D276" s="966"/>
      <c r="E276" s="1304"/>
      <c r="F276" s="1141" t="s">
        <v>1647</v>
      </c>
      <c r="G276" s="1141"/>
      <c r="H276" s="1141"/>
      <c r="I276" s="1141"/>
      <c r="J276" s="1141"/>
      <c r="K276" s="1141"/>
      <c r="L276" s="1141"/>
      <c r="M276" s="1141"/>
      <c r="N276" s="1141"/>
      <c r="O276" s="1141"/>
      <c r="P276" s="1141"/>
      <c r="Q276" s="1335">
        <v>10</v>
      </c>
      <c r="R276" s="1335"/>
      <c r="S276" s="1335">
        <v>10</v>
      </c>
      <c r="U276" s="2218"/>
      <c r="V276" s="2218"/>
      <c r="W276" s="2218"/>
      <c r="X276" s="2218"/>
      <c r="Y276" s="2218"/>
      <c r="Z276" s="2218"/>
      <c r="AA276" s="2218"/>
      <c r="AB276" s="2218"/>
      <c r="AC276" s="2218"/>
    </row>
    <row r="277" spans="1:29" s="246" customFormat="1" x14ac:dyDescent="0.25">
      <c r="A277" s="254">
        <v>15</v>
      </c>
      <c r="B277" s="708">
        <v>116117</v>
      </c>
      <c r="C277" s="955"/>
      <c r="D277" s="966"/>
      <c r="E277" s="1304"/>
      <c r="F277" s="1141" t="s">
        <v>1648</v>
      </c>
      <c r="G277" s="1141"/>
      <c r="H277" s="1141"/>
      <c r="I277" s="1141"/>
      <c r="J277" s="1141"/>
      <c r="K277" s="1141"/>
      <c r="L277" s="1141"/>
      <c r="M277" s="1141"/>
      <c r="N277" s="1141"/>
      <c r="O277" s="1141"/>
      <c r="P277" s="1141"/>
      <c r="Q277" s="1335">
        <v>10</v>
      </c>
      <c r="R277" s="1335"/>
      <c r="S277" s="1335">
        <v>10</v>
      </c>
      <c r="U277" s="2218"/>
      <c r="V277" s="2218"/>
      <c r="W277" s="2218"/>
      <c r="X277" s="2218"/>
      <c r="Y277" s="2218"/>
      <c r="Z277" s="2218"/>
      <c r="AA277" s="2218"/>
      <c r="AB277" s="2218"/>
      <c r="AC277" s="2218"/>
    </row>
    <row r="278" spans="1:29" s="246" customFormat="1" x14ac:dyDescent="0.25">
      <c r="A278" s="254"/>
      <c r="B278" s="255"/>
      <c r="C278" s="955"/>
      <c r="D278" s="966"/>
      <c r="E278" s="1304"/>
      <c r="F278" s="1141" t="s">
        <v>1649</v>
      </c>
      <c r="G278" s="1141"/>
      <c r="H278" s="1141"/>
      <c r="I278" s="1141"/>
      <c r="J278" s="1141"/>
      <c r="K278" s="1141"/>
      <c r="L278" s="1141"/>
      <c r="M278" s="1141"/>
      <c r="N278" s="1141"/>
      <c r="O278" s="1141"/>
      <c r="P278" s="1141"/>
      <c r="Q278" s="1335">
        <v>10</v>
      </c>
      <c r="R278" s="1335"/>
      <c r="S278" s="1335">
        <v>10</v>
      </c>
      <c r="U278" s="2218"/>
      <c r="V278" s="2218"/>
      <c r="W278" s="2218"/>
      <c r="X278" s="2218"/>
      <c r="Y278" s="2218"/>
      <c r="Z278" s="2218"/>
      <c r="AA278" s="2218"/>
      <c r="AB278" s="2218"/>
      <c r="AC278" s="2218"/>
    </row>
    <row r="279" spans="1:29" s="246" customFormat="1" ht="21" customHeight="1" x14ac:dyDescent="0.25">
      <c r="A279" s="255"/>
      <c r="B279" s="255"/>
      <c r="C279" s="955"/>
      <c r="D279" s="966"/>
      <c r="E279" s="1304"/>
      <c r="F279" s="1141"/>
      <c r="G279" s="1141"/>
      <c r="H279" s="1141"/>
      <c r="I279" s="1141"/>
      <c r="J279" s="1141"/>
      <c r="K279" s="1141"/>
      <c r="L279" s="1141"/>
      <c r="M279" s="1141"/>
      <c r="N279" s="1141"/>
      <c r="O279" s="1141"/>
      <c r="P279" s="1141"/>
      <c r="Q279" s="1336">
        <f>SUM(Q275:Q278)</f>
        <v>40</v>
      </c>
      <c r="R279" s="1337"/>
      <c r="S279" s="1336">
        <f>SUM(S275:S278)</f>
        <v>40</v>
      </c>
    </row>
    <row r="280" spans="1:29" s="246" customFormat="1" ht="10.5" customHeight="1" x14ac:dyDescent="0.25">
      <c r="A280" s="255"/>
      <c r="B280" s="255"/>
      <c r="C280" s="955"/>
      <c r="D280" s="966"/>
      <c r="E280" s="1304"/>
      <c r="F280" s="986"/>
      <c r="G280" s="1023"/>
      <c r="H280" s="1023"/>
      <c r="I280" s="1023"/>
      <c r="J280" s="1023"/>
      <c r="K280" s="1254"/>
      <c r="L280" s="1023"/>
      <c r="M280" s="1023"/>
      <c r="N280" s="1023"/>
      <c r="O280" s="1023"/>
      <c r="P280" s="955"/>
      <c r="Q280" s="1257"/>
      <c r="R280" s="1257"/>
      <c r="S280" s="1257"/>
    </row>
    <row r="281" spans="1:29" s="246" customFormat="1" ht="16.5" customHeight="1" x14ac:dyDescent="0.25">
      <c r="A281" s="255"/>
      <c r="B281" s="255"/>
      <c r="C281" s="955"/>
      <c r="D281" s="956" t="s">
        <v>286</v>
      </c>
      <c r="E281" s="1328">
        <v>8</v>
      </c>
      <c r="F281" s="1049" t="s">
        <v>154</v>
      </c>
      <c r="G281" s="955"/>
      <c r="H281" s="955"/>
      <c r="I281" s="955"/>
      <c r="J281" s="958"/>
      <c r="K281" s="1256"/>
      <c r="L281" s="958"/>
      <c r="M281" s="1304"/>
      <c r="N281" s="955"/>
      <c r="O281" s="955"/>
      <c r="P281" s="955"/>
      <c r="Q281" s="955"/>
      <c r="R281" s="955"/>
      <c r="S281" s="955"/>
    </row>
    <row r="282" spans="1:29" ht="16.5" customHeight="1" x14ac:dyDescent="0.25">
      <c r="A282" s="255"/>
      <c r="B282" s="255"/>
      <c r="D282" s="956" t="s">
        <v>286</v>
      </c>
      <c r="E282" s="1328">
        <v>8.1</v>
      </c>
      <c r="F282" s="989" t="s">
        <v>26</v>
      </c>
      <c r="G282" s="955"/>
      <c r="H282" s="955"/>
      <c r="I282" s="955"/>
      <c r="J282" s="955"/>
      <c r="K282" s="955"/>
      <c r="L282" s="955"/>
      <c r="M282" s="955"/>
      <c r="N282" s="955"/>
      <c r="O282" s="955"/>
      <c r="Q282" s="1300"/>
      <c r="R282" s="1300"/>
      <c r="S282" s="1320"/>
    </row>
    <row r="283" spans="1:29" ht="16.5" customHeight="1" x14ac:dyDescent="0.25">
      <c r="A283" s="255"/>
      <c r="B283" s="255"/>
      <c r="D283" s="963"/>
      <c r="F283" s="1203" t="s">
        <v>586</v>
      </c>
      <c r="G283" s="955"/>
      <c r="H283" s="955"/>
      <c r="I283" s="955"/>
      <c r="J283" s="955"/>
      <c r="K283" s="955"/>
      <c r="L283" s="955"/>
      <c r="M283" s="955"/>
      <c r="N283" s="955"/>
      <c r="O283" s="955"/>
      <c r="Q283" s="1300"/>
      <c r="R283" s="1300"/>
      <c r="S283" s="1300"/>
    </row>
    <row r="284" spans="1:29" ht="16.5" customHeight="1" x14ac:dyDescent="0.25">
      <c r="A284" s="254"/>
      <c r="B284" s="244"/>
      <c r="D284" s="963"/>
      <c r="F284" s="986" t="s">
        <v>35</v>
      </c>
      <c r="G284" s="955"/>
      <c r="H284" s="955"/>
      <c r="I284" s="955"/>
      <c r="J284" s="955"/>
      <c r="K284" s="955"/>
      <c r="L284" s="955"/>
      <c r="M284" s="955"/>
      <c r="N284" s="955"/>
      <c r="O284" s="955"/>
      <c r="Q284" s="1257">
        <v>0</v>
      </c>
      <c r="R284" s="1257"/>
      <c r="S284" s="1257">
        <v>0</v>
      </c>
    </row>
    <row r="285" spans="1:29" s="246" customFormat="1" ht="16.5" hidden="1" customHeight="1" x14ac:dyDescent="0.25">
      <c r="A285" s="244"/>
      <c r="B285" s="254"/>
      <c r="C285" s="955"/>
      <c r="D285" s="963"/>
      <c r="E285" s="1304"/>
      <c r="F285" s="986" t="s">
        <v>615</v>
      </c>
      <c r="G285" s="955"/>
      <c r="H285" s="955"/>
      <c r="I285" s="955"/>
      <c r="J285" s="955"/>
      <c r="K285" s="955"/>
      <c r="L285" s="955"/>
      <c r="M285" s="955"/>
      <c r="N285" s="955"/>
      <c r="O285" s="955"/>
      <c r="P285" s="955"/>
      <c r="Q285" s="1257">
        <v>0</v>
      </c>
      <c r="R285" s="1257"/>
      <c r="S285" s="1257">
        <v>0</v>
      </c>
      <c r="V285" s="307" t="s">
        <v>1173</v>
      </c>
    </row>
    <row r="286" spans="1:29" ht="16.5" customHeight="1" x14ac:dyDescent="0.25">
      <c r="A286" s="244"/>
      <c r="B286" s="244"/>
      <c r="D286" s="963"/>
      <c r="F286" s="986" t="s">
        <v>144</v>
      </c>
      <c r="G286" s="955"/>
      <c r="H286" s="955"/>
      <c r="I286" s="955"/>
      <c r="J286" s="955"/>
      <c r="K286" s="955"/>
      <c r="L286" s="955"/>
      <c r="M286" s="955"/>
      <c r="N286" s="955"/>
      <c r="O286" s="955"/>
      <c r="Q286" s="1257">
        <v>1161</v>
      </c>
      <c r="R286" s="1257"/>
      <c r="S286" s="1257">
        <v>2704</v>
      </c>
    </row>
    <row r="287" spans="1:29" ht="16.5" customHeight="1" x14ac:dyDescent="0.25">
      <c r="A287" s="244"/>
      <c r="B287" s="244"/>
      <c r="D287" s="963"/>
      <c r="F287" s="986"/>
      <c r="G287" s="955"/>
      <c r="H287" s="955"/>
      <c r="I287" s="955"/>
      <c r="J287" s="955"/>
      <c r="K287" s="955"/>
      <c r="L287" s="955"/>
      <c r="M287" s="955"/>
      <c r="N287" s="955"/>
      <c r="O287" s="955"/>
      <c r="Q287" s="1298">
        <f>SUM(Q284:Q286)</f>
        <v>1161</v>
      </c>
      <c r="R287" s="1299"/>
      <c r="S287" s="1298">
        <f>SUM(S284:S286)</f>
        <v>2704</v>
      </c>
    </row>
    <row r="288" spans="1:29" ht="16.5" customHeight="1" x14ac:dyDescent="0.25">
      <c r="A288" s="254"/>
      <c r="B288" s="244"/>
      <c r="D288" s="963"/>
      <c r="F288" s="1203" t="s">
        <v>331</v>
      </c>
      <c r="G288" s="955"/>
      <c r="H288" s="955"/>
      <c r="I288" s="955"/>
      <c r="J288" s="955"/>
      <c r="K288" s="955"/>
      <c r="L288" s="955"/>
      <c r="M288" s="955"/>
      <c r="N288" s="955"/>
      <c r="O288" s="955"/>
      <c r="Q288" s="1300"/>
      <c r="R288" s="1300"/>
      <c r="S288" s="1300"/>
    </row>
    <row r="289" spans="1:22" s="246" customFormat="1" ht="16.5" hidden="1" customHeight="1" x14ac:dyDescent="0.25">
      <c r="A289" s="244"/>
      <c r="B289" s="254"/>
      <c r="C289" s="955"/>
      <c r="D289" s="963"/>
      <c r="E289" s="1304"/>
      <c r="F289" s="986" t="s">
        <v>615</v>
      </c>
      <c r="G289" s="955"/>
      <c r="H289" s="955"/>
      <c r="I289" s="955"/>
      <c r="J289" s="955"/>
      <c r="K289" s="955"/>
      <c r="L289" s="955"/>
      <c r="M289" s="955"/>
      <c r="N289" s="955"/>
      <c r="O289" s="955"/>
      <c r="P289" s="955"/>
      <c r="Q289" s="1257">
        <v>0</v>
      </c>
      <c r="R289" s="1257"/>
      <c r="S289" s="1257">
        <v>0</v>
      </c>
      <c r="V289" s="307" t="s">
        <v>1173</v>
      </c>
    </row>
    <row r="290" spans="1:22" ht="16.5" customHeight="1" x14ac:dyDescent="0.25">
      <c r="A290" s="254"/>
      <c r="B290" s="244"/>
      <c r="D290" s="963"/>
      <c r="F290" s="986" t="s">
        <v>144</v>
      </c>
      <c r="G290" s="955"/>
      <c r="H290" s="955"/>
      <c r="I290" s="955"/>
      <c r="J290" s="955"/>
      <c r="K290" s="955"/>
      <c r="L290" s="955"/>
      <c r="M290" s="955"/>
      <c r="N290" s="955"/>
      <c r="O290" s="955"/>
      <c r="Q290" s="1338">
        <f>2565-368</f>
        <v>2197</v>
      </c>
      <c r="R290" s="1257"/>
      <c r="S290" s="1338">
        <v>3344</v>
      </c>
    </row>
    <row r="291" spans="1:22" s="246" customFormat="1" ht="16.5" customHeight="1" x14ac:dyDescent="0.25">
      <c r="A291" s="244"/>
      <c r="B291" s="254"/>
      <c r="C291" s="955"/>
      <c r="D291" s="963"/>
      <c r="E291" s="1304"/>
      <c r="F291" s="1023"/>
      <c r="G291" s="955"/>
      <c r="H291" s="955"/>
      <c r="I291" s="955"/>
      <c r="J291" s="955"/>
      <c r="K291" s="955"/>
      <c r="L291" s="955"/>
      <c r="M291" s="955"/>
      <c r="N291" s="955"/>
      <c r="O291" s="955"/>
      <c r="P291" s="955"/>
      <c r="Q291" s="1298">
        <f>SUM(Q288:Q290)</f>
        <v>2197</v>
      </c>
      <c r="R291" s="1299"/>
      <c r="S291" s="1298">
        <f>SUM(S288:S290)</f>
        <v>3344</v>
      </c>
    </row>
    <row r="292" spans="1:22" ht="9.9" customHeight="1" x14ac:dyDescent="0.25">
      <c r="A292" s="244"/>
      <c r="B292" s="244"/>
      <c r="D292" s="963"/>
      <c r="F292" s="1023"/>
      <c r="G292" s="955"/>
      <c r="H292" s="955"/>
      <c r="I292" s="955"/>
      <c r="J292" s="955"/>
      <c r="K292" s="955"/>
      <c r="L292" s="955"/>
      <c r="M292" s="955"/>
      <c r="N292" s="955"/>
      <c r="O292" s="955"/>
      <c r="Q292" s="1262"/>
      <c r="R292" s="1257"/>
      <c r="S292" s="1262"/>
    </row>
    <row r="293" spans="1:22" ht="16.5" customHeight="1" x14ac:dyDescent="0.25">
      <c r="A293" s="254"/>
      <c r="B293" s="244"/>
      <c r="D293" s="963"/>
      <c r="F293" s="1039" t="s">
        <v>103</v>
      </c>
      <c r="G293" s="955"/>
      <c r="H293" s="955"/>
      <c r="I293" s="955"/>
      <c r="J293" s="955"/>
      <c r="K293" s="955"/>
      <c r="L293" s="955"/>
      <c r="M293" s="955"/>
      <c r="N293" s="955"/>
      <c r="O293" s="955"/>
      <c r="Q293" s="1298">
        <f>Q287+Q290</f>
        <v>3358</v>
      </c>
      <c r="R293" s="1299"/>
      <c r="S293" s="1298">
        <f>S287+S290</f>
        <v>6048</v>
      </c>
    </row>
    <row r="294" spans="1:22" s="246" customFormat="1" ht="16.5" customHeight="1" x14ac:dyDescent="0.25">
      <c r="A294" s="254"/>
      <c r="B294" s="254"/>
      <c r="C294" s="955"/>
      <c r="D294" s="963"/>
      <c r="E294" s="1304"/>
      <c r="F294" s="1039"/>
      <c r="G294" s="955"/>
      <c r="H294" s="955"/>
      <c r="I294" s="955"/>
      <c r="J294" s="955"/>
      <c r="K294" s="955"/>
      <c r="L294" s="955"/>
      <c r="M294" s="955"/>
      <c r="N294" s="955"/>
      <c r="O294" s="955"/>
      <c r="P294" s="955"/>
      <c r="Q294" s="1299"/>
      <c r="R294" s="1299"/>
      <c r="S294" s="1299"/>
    </row>
    <row r="295" spans="1:22" s="246" customFormat="1" ht="16.5" customHeight="1" x14ac:dyDescent="0.25">
      <c r="A295" s="254"/>
      <c r="B295" s="254"/>
      <c r="C295" s="955"/>
      <c r="D295" s="963"/>
      <c r="E295" s="1304"/>
      <c r="F295" s="1203" t="s">
        <v>1174</v>
      </c>
      <c r="G295" s="955"/>
      <c r="H295" s="955"/>
      <c r="I295" s="955"/>
      <c r="J295" s="1299"/>
      <c r="K295" s="1299"/>
      <c r="L295" s="1299"/>
      <c r="M295" s="955"/>
      <c r="N295" s="955"/>
      <c r="O295" s="955"/>
      <c r="P295" s="955"/>
      <c r="Q295" s="955"/>
      <c r="R295" s="955"/>
      <c r="S295" s="955"/>
    </row>
    <row r="296" spans="1:22" s="246" customFormat="1" ht="16.5" customHeight="1" x14ac:dyDescent="0.25">
      <c r="A296" s="244"/>
      <c r="B296" s="254"/>
      <c r="C296" s="955"/>
      <c r="D296" s="963"/>
      <c r="E296" s="1304"/>
      <c r="F296" s="1035" t="s">
        <v>798</v>
      </c>
      <c r="G296" s="1036"/>
      <c r="H296" s="1036"/>
      <c r="I296" s="1036"/>
      <c r="J296" s="1339"/>
      <c r="K296" s="1339"/>
      <c r="L296" s="1339"/>
      <c r="M296" s="1036"/>
      <c r="N296" s="1036"/>
      <c r="O296" s="1036"/>
      <c r="P296" s="1036"/>
      <c r="Q296" s="1036"/>
      <c r="R296" s="1036"/>
      <c r="S296" s="1036"/>
    </row>
    <row r="297" spans="1:22" ht="16.5" customHeight="1" x14ac:dyDescent="0.25">
      <c r="A297" s="254"/>
      <c r="B297" s="244"/>
      <c r="D297" s="963"/>
      <c r="F297" s="1340" t="s">
        <v>776</v>
      </c>
      <c r="G297" s="1036"/>
      <c r="H297" s="1036"/>
      <c r="I297" s="1036"/>
      <c r="J297" s="1341"/>
      <c r="K297" s="1341"/>
      <c r="L297" s="1341"/>
      <c r="M297" s="1036"/>
      <c r="N297" s="1036"/>
      <c r="O297" s="1036"/>
      <c r="P297" s="1036"/>
      <c r="Q297" s="1036"/>
      <c r="R297" s="1036"/>
      <c r="S297" s="1036"/>
    </row>
    <row r="298" spans="1:22" ht="16.5" customHeight="1" x14ac:dyDescent="0.25">
      <c r="A298" s="244">
        <v>7</v>
      </c>
      <c r="B298" s="244" t="s">
        <v>233</v>
      </c>
      <c r="D298" s="963"/>
      <c r="F298" s="986" t="s">
        <v>205</v>
      </c>
      <c r="G298" s="955"/>
      <c r="H298" s="955"/>
      <c r="I298" s="955"/>
      <c r="J298" s="1320"/>
      <c r="K298" s="1300"/>
      <c r="L298" s="1320"/>
      <c r="M298" s="955"/>
      <c r="N298" s="955"/>
      <c r="O298" s="955"/>
      <c r="Q298" s="955"/>
      <c r="R298" s="955"/>
      <c r="S298" s="955"/>
    </row>
    <row r="299" spans="1:22" ht="16.5" customHeight="1" x14ac:dyDescent="0.25">
      <c r="A299" s="244"/>
      <c r="B299" s="244"/>
      <c r="D299" s="963"/>
      <c r="F299" s="986" t="s">
        <v>589</v>
      </c>
      <c r="G299" s="955"/>
      <c r="H299" s="955"/>
      <c r="I299" s="955"/>
      <c r="J299" s="1262">
        <v>1161</v>
      </c>
      <c r="K299" s="1257"/>
      <c r="L299" s="1262">
        <v>2704</v>
      </c>
      <c r="M299" s="955"/>
      <c r="N299" s="955"/>
      <c r="O299" s="955"/>
      <c r="Q299" s="1257">
        <v>1161</v>
      </c>
      <c r="R299" s="955"/>
      <c r="S299" s="1257">
        <v>2704</v>
      </c>
    </row>
    <row r="300" spans="1:22" ht="16.5" customHeight="1" x14ac:dyDescent="0.25">
      <c r="A300" s="244"/>
      <c r="B300" s="244"/>
      <c r="D300" s="963"/>
      <c r="F300" s="986" t="s">
        <v>590</v>
      </c>
      <c r="G300" s="955"/>
      <c r="H300" s="955"/>
      <c r="I300" s="955"/>
      <c r="J300" s="1262">
        <v>2565</v>
      </c>
      <c r="K300" s="1257"/>
      <c r="L300" s="1262">
        <v>3344</v>
      </c>
      <c r="M300" s="955"/>
      <c r="N300" s="955"/>
      <c r="O300" s="955"/>
      <c r="Q300" s="1257">
        <v>2197</v>
      </c>
      <c r="R300" s="955"/>
      <c r="S300" s="1257">
        <v>3344</v>
      </c>
    </row>
    <row r="301" spans="1:22" ht="16.5" customHeight="1" x14ac:dyDescent="0.25">
      <c r="A301" s="244"/>
      <c r="B301" s="244"/>
      <c r="D301" s="963"/>
      <c r="F301" s="986" t="s">
        <v>201</v>
      </c>
      <c r="G301" s="955"/>
      <c r="H301" s="955"/>
      <c r="I301" s="955"/>
      <c r="J301" s="955"/>
      <c r="K301" s="955"/>
      <c r="L301" s="955"/>
      <c r="M301" s="955"/>
      <c r="N301" s="955"/>
      <c r="O301" s="955"/>
      <c r="Q301" s="1338">
        <v>0</v>
      </c>
      <c r="R301" s="1257"/>
      <c r="S301" s="1262">
        <v>0</v>
      </c>
    </row>
    <row r="302" spans="1:22" ht="16.5" customHeight="1" x14ac:dyDescent="0.25">
      <c r="A302" s="244"/>
      <c r="B302" s="244"/>
      <c r="D302" s="963"/>
      <c r="F302" s="989" t="s">
        <v>103</v>
      </c>
      <c r="G302" s="955"/>
      <c r="H302" s="955"/>
      <c r="I302" s="955"/>
      <c r="J302" s="955"/>
      <c r="K302" s="955"/>
      <c r="L302" s="955"/>
      <c r="M302" s="955"/>
      <c r="N302" s="955"/>
      <c r="O302" s="955"/>
      <c r="Q302" s="1298">
        <f>SUM(Q299:Q301)</f>
        <v>3358</v>
      </c>
      <c r="R302" s="1299"/>
      <c r="S302" s="1298">
        <f>SUM(S299:S301)</f>
        <v>6048</v>
      </c>
    </row>
    <row r="303" spans="1:22" ht="15" thickBot="1" x14ac:dyDescent="0.3">
      <c r="A303" s="244"/>
      <c r="B303" s="244"/>
      <c r="D303" s="963"/>
      <c r="F303" s="986"/>
      <c r="G303" s="955"/>
      <c r="H303" s="955"/>
      <c r="I303" s="955"/>
      <c r="J303" s="955"/>
      <c r="K303" s="955"/>
      <c r="L303" s="955"/>
      <c r="M303" s="955"/>
      <c r="N303" s="955"/>
      <c r="O303" s="955"/>
      <c r="Q303" s="1320"/>
      <c r="R303" s="1300"/>
      <c r="S303" s="1320"/>
    </row>
    <row r="304" spans="1:22" ht="16.5" customHeight="1" x14ac:dyDescent="0.25">
      <c r="A304" s="254"/>
      <c r="B304" s="254"/>
      <c r="D304" s="963"/>
      <c r="F304" s="974" t="s">
        <v>1133</v>
      </c>
      <c r="G304" s="1281"/>
      <c r="H304" s="1281"/>
      <c r="I304" s="1281"/>
      <c r="J304" s="1281"/>
      <c r="K304" s="1281"/>
      <c r="L304" s="1281"/>
      <c r="M304" s="1281"/>
      <c r="N304" s="1281"/>
      <c r="O304" s="1281"/>
      <c r="P304" s="1281"/>
      <c r="Q304" s="1281"/>
      <c r="R304" s="1281"/>
      <c r="S304" s="1282"/>
      <c r="U304" s="404"/>
    </row>
    <row r="305" spans="1:21" ht="9.9" customHeight="1" x14ac:dyDescent="0.25">
      <c r="A305" s="254"/>
      <c r="B305" s="254"/>
      <c r="D305" s="963"/>
      <c r="F305" s="1283"/>
      <c r="G305" s="1284"/>
      <c r="H305" s="1284"/>
      <c r="I305" s="1284"/>
      <c r="J305" s="1284"/>
      <c r="K305" s="1284"/>
      <c r="L305" s="1284"/>
      <c r="M305" s="1284"/>
      <c r="N305" s="1284"/>
      <c r="O305" s="1284"/>
      <c r="P305" s="1284"/>
      <c r="Q305" s="1284"/>
      <c r="R305" s="1284"/>
      <c r="S305" s="1285"/>
      <c r="U305" s="404"/>
    </row>
    <row r="306" spans="1:21" ht="16.5" customHeight="1" x14ac:dyDescent="0.25">
      <c r="A306" s="254"/>
      <c r="B306" s="254"/>
      <c r="D306" s="963"/>
      <c r="F306" s="1283" t="s">
        <v>706</v>
      </c>
      <c r="G306" s="1284"/>
      <c r="H306" s="1284"/>
      <c r="I306" s="1284"/>
      <c r="J306" s="1284"/>
      <c r="K306" s="1284"/>
      <c r="L306" s="1284"/>
      <c r="M306" s="1284"/>
      <c r="N306" s="1284"/>
      <c r="O306" s="1284"/>
      <c r="P306" s="1284"/>
      <c r="Q306" s="1284"/>
      <c r="R306" s="1284"/>
      <c r="S306" s="1285"/>
      <c r="U306" s="404"/>
    </row>
    <row r="307" spans="1:21" ht="66" customHeight="1" x14ac:dyDescent="0.25">
      <c r="A307" s="256"/>
      <c r="B307" s="254"/>
      <c r="D307" s="963"/>
      <c r="F307" s="2219" t="s">
        <v>1876</v>
      </c>
      <c r="G307" s="2220"/>
      <c r="H307" s="2220"/>
      <c r="I307" s="2220"/>
      <c r="J307" s="2220"/>
      <c r="K307" s="2220"/>
      <c r="L307" s="2220"/>
      <c r="M307" s="2220"/>
      <c r="N307" s="2220"/>
      <c r="O307" s="2220"/>
      <c r="P307" s="2220"/>
      <c r="Q307" s="2220"/>
      <c r="R307" s="2220"/>
      <c r="S307" s="2221"/>
      <c r="U307" s="355"/>
    </row>
    <row r="308" spans="1:21" s="246" customFormat="1" ht="39.75" customHeight="1" thickBot="1" x14ac:dyDescent="0.3">
      <c r="A308" s="2222" t="s">
        <v>1385</v>
      </c>
      <c r="B308" s="2222"/>
      <c r="C308" s="955"/>
      <c r="D308" s="963"/>
      <c r="E308" s="1304"/>
      <c r="F308" s="2224" t="s">
        <v>1788</v>
      </c>
      <c r="G308" s="2225"/>
      <c r="H308" s="2225"/>
      <c r="I308" s="2225"/>
      <c r="J308" s="2225"/>
      <c r="K308" s="2225"/>
      <c r="L308" s="2225"/>
      <c r="M308" s="2225"/>
      <c r="N308" s="2225"/>
      <c r="O308" s="2225"/>
      <c r="P308" s="2225"/>
      <c r="Q308" s="2225"/>
      <c r="R308" s="2225"/>
      <c r="S308" s="2226"/>
      <c r="U308" s="355"/>
    </row>
    <row r="309" spans="1:21" s="246" customFormat="1" x14ac:dyDescent="0.25">
      <c r="A309" s="255"/>
      <c r="B309" s="255"/>
      <c r="C309" s="955"/>
      <c r="D309" s="966"/>
      <c r="E309" s="1304"/>
      <c r="F309" s="986"/>
      <c r="G309" s="1023"/>
      <c r="H309" s="1023"/>
      <c r="I309" s="1023"/>
      <c r="J309" s="1023"/>
      <c r="K309" s="1254"/>
      <c r="L309" s="1023"/>
      <c r="M309" s="1023"/>
      <c r="N309" s="1023"/>
      <c r="O309" s="1023"/>
      <c r="P309" s="955"/>
      <c r="Q309" s="1257"/>
      <c r="R309" s="1257"/>
      <c r="S309" s="1257"/>
    </row>
    <row r="310" spans="1:21" s="246" customFormat="1" x14ac:dyDescent="0.25">
      <c r="A310" s="141"/>
      <c r="B310" s="255"/>
      <c r="C310" s="955"/>
      <c r="D310" s="966"/>
      <c r="E310" s="1304"/>
      <c r="F310" s="986"/>
      <c r="G310" s="1023"/>
      <c r="H310" s="1023"/>
      <c r="I310" s="1023"/>
      <c r="J310" s="1023"/>
      <c r="K310" s="1254"/>
      <c r="L310" s="1023"/>
      <c r="M310" s="1023"/>
      <c r="N310" s="1023"/>
      <c r="O310" s="1023"/>
      <c r="P310" s="955"/>
      <c r="Q310" s="1257"/>
      <c r="R310" s="1257"/>
      <c r="S310" s="1257"/>
    </row>
    <row r="311" spans="1:21" x14ac:dyDescent="0.25">
      <c r="B311" s="141"/>
      <c r="F311" s="955"/>
      <c r="G311" s="955"/>
      <c r="H311" s="955"/>
      <c r="I311" s="955"/>
      <c r="J311" s="955"/>
      <c r="K311" s="955"/>
      <c r="L311" s="955"/>
      <c r="M311" s="955"/>
      <c r="N311" s="955"/>
      <c r="O311" s="955"/>
      <c r="Q311" s="955"/>
      <c r="R311" s="955"/>
      <c r="S311" s="955"/>
    </row>
    <row r="312" spans="1:21" x14ac:dyDescent="0.25">
      <c r="Q312" s="955"/>
      <c r="R312" s="955"/>
      <c r="S312" s="955"/>
    </row>
    <row r="313" spans="1:21" x14ac:dyDescent="0.25">
      <c r="Q313" s="955"/>
      <c r="R313" s="955"/>
      <c r="S313" s="955"/>
    </row>
    <row r="314" spans="1:21" x14ac:dyDescent="0.25">
      <c r="Q314" s="955"/>
      <c r="R314" s="955"/>
      <c r="S314" s="955"/>
    </row>
    <row r="315" spans="1:21" x14ac:dyDescent="0.25">
      <c r="Q315" s="955"/>
      <c r="R315" s="955"/>
      <c r="S315" s="955"/>
    </row>
    <row r="316" spans="1:21" x14ac:dyDescent="0.25">
      <c r="Q316" s="955"/>
      <c r="R316" s="955"/>
      <c r="S316" s="955"/>
    </row>
    <row r="317" spans="1:21" x14ac:dyDescent="0.25">
      <c r="Q317" s="955"/>
      <c r="R317" s="955"/>
      <c r="S317" s="955"/>
    </row>
    <row r="318" spans="1:21" x14ac:dyDescent="0.25">
      <c r="Q318" s="955"/>
      <c r="R318" s="955"/>
      <c r="S318" s="955"/>
    </row>
    <row r="319" spans="1:21" x14ac:dyDescent="0.25">
      <c r="Q319" s="955"/>
      <c r="R319" s="955"/>
      <c r="S319" s="955"/>
    </row>
    <row r="320" spans="1:21" x14ac:dyDescent="0.25">
      <c r="Q320" s="955"/>
      <c r="R320" s="955"/>
      <c r="S320" s="955"/>
    </row>
    <row r="321" spans="17:19" x14ac:dyDescent="0.25">
      <c r="Q321" s="955"/>
      <c r="R321" s="955"/>
      <c r="S321" s="955"/>
    </row>
    <row r="322" spans="17:19" x14ac:dyDescent="0.25">
      <c r="Q322" s="955"/>
      <c r="R322" s="955"/>
      <c r="S322" s="955"/>
    </row>
    <row r="323" spans="17:19" x14ac:dyDescent="0.25">
      <c r="Q323" s="955"/>
      <c r="R323" s="955"/>
      <c r="S323" s="955"/>
    </row>
    <row r="324" spans="17:19" x14ac:dyDescent="0.25">
      <c r="Q324" s="955"/>
      <c r="R324" s="955"/>
      <c r="S324" s="955"/>
    </row>
    <row r="325" spans="17:19" x14ac:dyDescent="0.25">
      <c r="Q325" s="955"/>
      <c r="R325" s="955"/>
      <c r="S325" s="955"/>
    </row>
    <row r="326" spans="17:19" x14ac:dyDescent="0.25">
      <c r="Q326" s="955"/>
      <c r="R326" s="955"/>
      <c r="S326" s="955"/>
    </row>
    <row r="327" spans="17:19" x14ac:dyDescent="0.25">
      <c r="Q327" s="955"/>
      <c r="R327" s="955"/>
      <c r="S327" s="955"/>
    </row>
    <row r="328" spans="17:19" x14ac:dyDescent="0.25">
      <c r="Q328" s="955"/>
      <c r="R328" s="955"/>
      <c r="S328" s="955"/>
    </row>
    <row r="329" spans="17:19" x14ac:dyDescent="0.25">
      <c r="Q329" s="955"/>
      <c r="R329" s="955"/>
      <c r="S329" s="955"/>
    </row>
    <row r="330" spans="17:19" x14ac:dyDescent="0.25">
      <c r="Q330" s="955"/>
      <c r="R330" s="955"/>
      <c r="S330" s="955"/>
    </row>
    <row r="331" spans="17:19" x14ac:dyDescent="0.25">
      <c r="Q331" s="955"/>
      <c r="R331" s="955"/>
      <c r="S331" s="955"/>
    </row>
    <row r="332" spans="17:19" x14ac:dyDescent="0.25">
      <c r="Q332" s="955"/>
      <c r="R332" s="955"/>
      <c r="S332" s="955"/>
    </row>
    <row r="333" spans="17:19" x14ac:dyDescent="0.25">
      <c r="Q333" s="955"/>
      <c r="R333" s="955"/>
      <c r="S333" s="955"/>
    </row>
    <row r="334" spans="17:19" x14ac:dyDescent="0.25">
      <c r="Q334" s="955"/>
      <c r="R334" s="955"/>
      <c r="S334" s="955"/>
    </row>
    <row r="335" spans="17:19" x14ac:dyDescent="0.25">
      <c r="Q335" s="955"/>
      <c r="R335" s="955"/>
      <c r="S335" s="955"/>
    </row>
    <row r="336" spans="17:19" x14ac:dyDescent="0.25">
      <c r="Q336" s="955"/>
      <c r="R336" s="955"/>
      <c r="S336" s="955"/>
    </row>
    <row r="337" spans="17:19" x14ac:dyDescent="0.25">
      <c r="Q337" s="955"/>
      <c r="R337" s="955"/>
      <c r="S337" s="955"/>
    </row>
    <row r="338" spans="17:19" x14ac:dyDescent="0.25">
      <c r="Q338" s="955"/>
      <c r="R338" s="955"/>
      <c r="S338" s="955"/>
    </row>
    <row r="339" spans="17:19" x14ac:dyDescent="0.25">
      <c r="Q339" s="955"/>
      <c r="R339" s="955"/>
      <c r="S339" s="955"/>
    </row>
    <row r="340" spans="17:19" x14ac:dyDescent="0.25">
      <c r="Q340" s="955"/>
      <c r="R340" s="955"/>
      <c r="S340" s="955"/>
    </row>
    <row r="341" spans="17:19" x14ac:dyDescent="0.25">
      <c r="Q341" s="955"/>
      <c r="R341" s="955"/>
      <c r="S341" s="955"/>
    </row>
    <row r="342" spans="17:19" x14ac:dyDescent="0.25">
      <c r="Q342" s="955"/>
      <c r="R342" s="955"/>
      <c r="S342" s="955"/>
    </row>
    <row r="343" spans="17:19" x14ac:dyDescent="0.25">
      <c r="Q343" s="955"/>
      <c r="R343" s="955"/>
      <c r="S343" s="955"/>
    </row>
    <row r="344" spans="17:19" x14ac:dyDescent="0.25">
      <c r="Q344" s="955"/>
      <c r="R344" s="955"/>
      <c r="S344" s="955"/>
    </row>
    <row r="345" spans="17:19" x14ac:dyDescent="0.25">
      <c r="Q345" s="955"/>
      <c r="R345" s="955"/>
      <c r="S345" s="955"/>
    </row>
    <row r="346" spans="17:19" x14ac:dyDescent="0.25">
      <c r="Q346" s="955"/>
      <c r="R346" s="955"/>
      <c r="S346" s="955"/>
    </row>
    <row r="347" spans="17:19" x14ac:dyDescent="0.25">
      <c r="Q347" s="955"/>
      <c r="R347" s="955"/>
      <c r="S347" s="955"/>
    </row>
    <row r="348" spans="17:19" x14ac:dyDescent="0.25">
      <c r="Q348" s="955"/>
      <c r="R348" s="955"/>
      <c r="S348" s="955"/>
    </row>
    <row r="349" spans="17:19" x14ac:dyDescent="0.25">
      <c r="Q349" s="955"/>
      <c r="R349" s="955"/>
      <c r="S349" s="955"/>
    </row>
    <row r="350" spans="17:19" x14ac:dyDescent="0.25">
      <c r="Q350" s="955"/>
      <c r="R350" s="955"/>
      <c r="S350" s="955"/>
    </row>
    <row r="351" spans="17:19" x14ac:dyDescent="0.25">
      <c r="Q351" s="955"/>
      <c r="R351" s="955"/>
      <c r="S351" s="955"/>
    </row>
    <row r="352" spans="17:19" x14ac:dyDescent="0.25">
      <c r="Q352" s="955"/>
      <c r="R352" s="955"/>
      <c r="S352" s="955"/>
    </row>
    <row r="353" spans="17:19" x14ac:dyDescent="0.25">
      <c r="Q353" s="955"/>
      <c r="R353" s="955"/>
      <c r="S353" s="955"/>
    </row>
    <row r="354" spans="17:19" x14ac:dyDescent="0.25">
      <c r="Q354" s="955"/>
      <c r="R354" s="955"/>
      <c r="S354" s="955"/>
    </row>
    <row r="355" spans="17:19" x14ac:dyDescent="0.25">
      <c r="Q355" s="955"/>
      <c r="R355" s="955"/>
      <c r="S355" s="955"/>
    </row>
    <row r="356" spans="17:19" x14ac:dyDescent="0.25">
      <c r="Q356" s="955"/>
      <c r="R356" s="955"/>
      <c r="S356" s="955"/>
    </row>
    <row r="357" spans="17:19" x14ac:dyDescent="0.25">
      <c r="Q357" s="955"/>
      <c r="R357" s="955"/>
      <c r="S357" s="955"/>
    </row>
    <row r="358" spans="17:19" x14ac:dyDescent="0.25">
      <c r="Q358" s="955"/>
      <c r="R358" s="955"/>
      <c r="S358" s="955"/>
    </row>
    <row r="359" spans="17:19" x14ac:dyDescent="0.25">
      <c r="Q359" s="955"/>
      <c r="R359" s="955"/>
      <c r="S359" s="955"/>
    </row>
    <row r="360" spans="17:19" x14ac:dyDescent="0.25">
      <c r="Q360" s="955"/>
      <c r="R360" s="955"/>
      <c r="S360" s="955"/>
    </row>
    <row r="361" spans="17:19" x14ac:dyDescent="0.25">
      <c r="Q361" s="955"/>
      <c r="R361" s="955"/>
      <c r="S361" s="955"/>
    </row>
    <row r="362" spans="17:19" x14ac:dyDescent="0.25">
      <c r="Q362" s="955"/>
      <c r="R362" s="955"/>
      <c r="S362" s="955"/>
    </row>
    <row r="363" spans="17:19" x14ac:dyDescent="0.25">
      <c r="Q363" s="955"/>
      <c r="R363" s="955"/>
      <c r="S363" s="955"/>
    </row>
    <row r="364" spans="17:19" x14ac:dyDescent="0.25">
      <c r="Q364" s="955"/>
      <c r="R364" s="955"/>
      <c r="S364" s="955"/>
    </row>
    <row r="365" spans="17:19" x14ac:dyDescent="0.25">
      <c r="Q365" s="955"/>
      <c r="R365" s="955"/>
      <c r="S365" s="955"/>
    </row>
    <row r="366" spans="17:19" x14ac:dyDescent="0.25">
      <c r="Q366" s="955"/>
      <c r="R366" s="955"/>
      <c r="S366" s="955"/>
    </row>
    <row r="367" spans="17:19" x14ac:dyDescent="0.25">
      <c r="Q367" s="955"/>
      <c r="R367" s="955"/>
      <c r="S367" s="955"/>
    </row>
    <row r="368" spans="17:19" x14ac:dyDescent="0.25">
      <c r="Q368" s="955"/>
      <c r="R368" s="955"/>
      <c r="S368" s="955"/>
    </row>
    <row r="369" spans="17:19" x14ac:dyDescent="0.25">
      <c r="Q369" s="955"/>
      <c r="R369" s="955"/>
      <c r="S369" s="955"/>
    </row>
    <row r="370" spans="17:19" x14ac:dyDescent="0.25">
      <c r="Q370" s="955"/>
      <c r="R370" s="955"/>
      <c r="S370" s="955"/>
    </row>
    <row r="371" spans="17:19" x14ac:dyDescent="0.25">
      <c r="Q371" s="955"/>
      <c r="R371" s="955"/>
      <c r="S371" s="955"/>
    </row>
    <row r="372" spans="17:19" x14ac:dyDescent="0.25">
      <c r="Q372" s="955"/>
      <c r="R372" s="955"/>
      <c r="S372" s="955"/>
    </row>
    <row r="373" spans="17:19" x14ac:dyDescent="0.25">
      <c r="Q373" s="955"/>
      <c r="R373" s="955"/>
      <c r="S373" s="955"/>
    </row>
    <row r="374" spans="17:19" x14ac:dyDescent="0.25">
      <c r="Q374" s="955"/>
      <c r="R374" s="955"/>
      <c r="S374" s="955"/>
    </row>
    <row r="375" spans="17:19" x14ac:dyDescent="0.25">
      <c r="Q375" s="955"/>
      <c r="R375" s="955"/>
      <c r="S375" s="955"/>
    </row>
    <row r="376" spans="17:19" x14ac:dyDescent="0.25">
      <c r="Q376" s="955"/>
      <c r="R376" s="955"/>
      <c r="S376" s="955"/>
    </row>
    <row r="377" spans="17:19" x14ac:dyDescent="0.25">
      <c r="Q377" s="955"/>
      <c r="R377" s="955"/>
      <c r="S377" s="955"/>
    </row>
    <row r="378" spans="17:19" x14ac:dyDescent="0.25">
      <c r="Q378" s="955"/>
      <c r="R378" s="955"/>
      <c r="S378" s="955"/>
    </row>
    <row r="379" spans="17:19" x14ac:dyDescent="0.25">
      <c r="Q379" s="955"/>
      <c r="R379" s="955"/>
      <c r="S379" s="955"/>
    </row>
    <row r="380" spans="17:19" x14ac:dyDescent="0.25">
      <c r="Q380" s="955"/>
      <c r="R380" s="955"/>
      <c r="S380" s="955"/>
    </row>
    <row r="381" spans="17:19" x14ac:dyDescent="0.25">
      <c r="Q381" s="955"/>
      <c r="R381" s="955"/>
      <c r="S381" s="955"/>
    </row>
    <row r="382" spans="17:19" x14ac:dyDescent="0.25">
      <c r="Q382" s="955"/>
      <c r="R382" s="955"/>
      <c r="S382" s="955"/>
    </row>
    <row r="383" spans="17:19" x14ac:dyDescent="0.25">
      <c r="Q383" s="955"/>
      <c r="R383" s="955"/>
      <c r="S383" s="955"/>
    </row>
    <row r="384" spans="17:19" x14ac:dyDescent="0.25">
      <c r="Q384" s="955"/>
      <c r="R384" s="955"/>
      <c r="S384" s="955"/>
    </row>
    <row r="385" spans="17:19" x14ac:dyDescent="0.25">
      <c r="Q385" s="955"/>
      <c r="R385" s="955"/>
      <c r="S385" s="955"/>
    </row>
    <row r="386" spans="17:19" x14ac:dyDescent="0.25">
      <c r="Q386" s="955"/>
      <c r="R386" s="955"/>
      <c r="S386" s="955"/>
    </row>
    <row r="387" spans="17:19" x14ac:dyDescent="0.25">
      <c r="Q387" s="955"/>
      <c r="R387" s="955"/>
      <c r="S387" s="955"/>
    </row>
    <row r="388" spans="17:19" x14ac:dyDescent="0.25">
      <c r="Q388" s="955"/>
      <c r="R388" s="955"/>
      <c r="S388" s="955"/>
    </row>
    <row r="389" spans="17:19" x14ac:dyDescent="0.25">
      <c r="Q389" s="955"/>
      <c r="R389" s="955"/>
      <c r="S389" s="955"/>
    </row>
    <row r="390" spans="17:19" x14ac:dyDescent="0.25">
      <c r="Q390" s="955"/>
      <c r="R390" s="955"/>
      <c r="S390" s="955"/>
    </row>
    <row r="391" spans="17:19" x14ac:dyDescent="0.25">
      <c r="Q391" s="955"/>
      <c r="R391" s="955"/>
      <c r="S391" s="955"/>
    </row>
    <row r="392" spans="17:19" x14ac:dyDescent="0.25">
      <c r="Q392" s="955"/>
      <c r="R392" s="955"/>
      <c r="S392" s="955"/>
    </row>
    <row r="393" spans="17:19" x14ac:dyDescent="0.25">
      <c r="Q393" s="955"/>
      <c r="R393" s="955"/>
      <c r="S393" s="955"/>
    </row>
    <row r="394" spans="17:19" x14ac:dyDescent="0.25">
      <c r="Q394" s="955"/>
      <c r="R394" s="955"/>
      <c r="S394" s="955"/>
    </row>
    <row r="395" spans="17:19" x14ac:dyDescent="0.25">
      <c r="Q395" s="955"/>
      <c r="R395" s="955"/>
      <c r="S395" s="955"/>
    </row>
    <row r="396" spans="17:19" x14ac:dyDescent="0.25">
      <c r="Q396" s="955"/>
      <c r="R396" s="955"/>
      <c r="S396" s="955"/>
    </row>
    <row r="397" spans="17:19" x14ac:dyDescent="0.25">
      <c r="Q397" s="955"/>
      <c r="R397" s="955"/>
      <c r="S397" s="955"/>
    </row>
    <row r="398" spans="17:19" x14ac:dyDescent="0.25">
      <c r="Q398" s="955"/>
      <c r="R398" s="955"/>
      <c r="S398" s="955"/>
    </row>
    <row r="399" spans="17:19" x14ac:dyDescent="0.25">
      <c r="Q399" s="955"/>
      <c r="R399" s="955"/>
      <c r="S399" s="955"/>
    </row>
    <row r="400" spans="17:19" x14ac:dyDescent="0.25">
      <c r="Q400" s="955"/>
      <c r="R400" s="955"/>
      <c r="S400" s="955"/>
    </row>
    <row r="401" spans="17:19" x14ac:dyDescent="0.25">
      <c r="Q401" s="955"/>
      <c r="R401" s="955"/>
      <c r="S401" s="955"/>
    </row>
    <row r="402" spans="17:19" x14ac:dyDescent="0.25">
      <c r="Q402" s="955"/>
      <c r="R402" s="955"/>
      <c r="S402" s="955"/>
    </row>
    <row r="403" spans="17:19" x14ac:dyDescent="0.25">
      <c r="Q403" s="955"/>
      <c r="R403" s="955"/>
      <c r="S403" s="955"/>
    </row>
    <row r="404" spans="17:19" x14ac:dyDescent="0.25">
      <c r="Q404" s="955"/>
      <c r="R404" s="955"/>
      <c r="S404" s="955"/>
    </row>
    <row r="436" ht="11.25" customHeight="1" x14ac:dyDescent="0.25"/>
  </sheetData>
  <customSheetViews>
    <customSheetView guid="{7F222B88-8DE7-4209-9261-78C075D2F561}" scale="75" showPageBreaks="1" printArea="1" hiddenRows="1" view="pageBreakPreview" showRuler="0">
      <pane ySplit="2" topLeftCell="A3" activePane="bottomLeft" state="frozen"/>
      <selection pane="bottomLeft" activeCell="E12" sqref="E12:E48"/>
      <rowBreaks count="1" manualBreakCount="1">
        <brk id="69" max="15" man="1"/>
      </rowBreaks>
      <pageMargins left="0.74803149606299213" right="0.62992125984251968" top="0.70866141732283472" bottom="0.70866141732283472" header="0.51181102362204722" footer="0.51181102362204722"/>
      <pageSetup paperSize="9" scale="57" orientation="portrait" r:id="rId1"/>
      <headerFooter alignWithMargins="0">
        <oddFooter>&amp;C&amp;"Arial Narrow,Regular"Page &amp;P of &amp;N</oddFooter>
      </headerFooter>
    </customSheetView>
  </customSheetViews>
  <mergeCells count="63">
    <mergeCell ref="O27:P27"/>
    <mergeCell ref="F254:S254"/>
    <mergeCell ref="F255:S255"/>
    <mergeCell ref="F270:S270"/>
    <mergeCell ref="F147:I147"/>
    <mergeCell ref="F250:S250"/>
    <mergeCell ref="H212:Q212"/>
    <mergeCell ref="F244:S244"/>
    <mergeCell ref="F247:S247"/>
    <mergeCell ref="F53:S53"/>
    <mergeCell ref="B77:B79"/>
    <mergeCell ref="F83:S83"/>
    <mergeCell ref="F82:S82"/>
    <mergeCell ref="F80:S80"/>
    <mergeCell ref="F91:S91"/>
    <mergeCell ref="F88:S88"/>
    <mergeCell ref="F84:S84"/>
    <mergeCell ref="A119:A122"/>
    <mergeCell ref="F122:S122"/>
    <mergeCell ref="F191:S191"/>
    <mergeCell ref="F176:S176"/>
    <mergeCell ref="F178:S178"/>
    <mergeCell ref="F180:S180"/>
    <mergeCell ref="F181:S181"/>
    <mergeCell ref="F183:S183"/>
    <mergeCell ref="F173:S173"/>
    <mergeCell ref="F175:S175"/>
    <mergeCell ref="F123:S123"/>
    <mergeCell ref="F161:I161"/>
    <mergeCell ref="O155:P155"/>
    <mergeCell ref="O142:P142"/>
    <mergeCell ref="F12:S12"/>
    <mergeCell ref="F17:S17"/>
    <mergeCell ref="F52:S52"/>
    <mergeCell ref="F272:S272"/>
    <mergeCell ref="A308:B308"/>
    <mergeCell ref="F135:S135"/>
    <mergeCell ref="F140:S140"/>
    <mergeCell ref="A137:A140"/>
    <mergeCell ref="F308:S308"/>
    <mergeCell ref="F307:S307"/>
    <mergeCell ref="F232:S232"/>
    <mergeCell ref="F256:S256"/>
    <mergeCell ref="F225:S225"/>
    <mergeCell ref="F234:S234"/>
    <mergeCell ref="F238:S238"/>
    <mergeCell ref="F241:S241"/>
    <mergeCell ref="U77:AC86"/>
    <mergeCell ref="O62:P62"/>
    <mergeCell ref="F267:S267"/>
    <mergeCell ref="F269:S269"/>
    <mergeCell ref="F94:S94"/>
    <mergeCell ref="F99:S99"/>
    <mergeCell ref="F253:S253"/>
    <mergeCell ref="F251:S251"/>
    <mergeCell ref="F248:S248"/>
    <mergeCell ref="F240:S240"/>
    <mergeCell ref="F237:S237"/>
    <mergeCell ref="F242:S242"/>
    <mergeCell ref="F245:S245"/>
    <mergeCell ref="U267:AC278"/>
    <mergeCell ref="F271:S271"/>
    <mergeCell ref="M62:N62"/>
  </mergeCells>
  <phoneticPr fontId="0" type="noConversion"/>
  <pageMargins left="0.31496062992125984" right="0.31496062992125984" top="0.35433070866141736" bottom="0.35433070866141736" header="0.11811023622047245" footer="0.11811023622047245"/>
  <pageSetup paperSize="9" orientation="portrait" r:id="rId2"/>
  <headerFooter>
    <oddFooter>&amp;R&amp;P</oddFooter>
  </headerFooter>
  <rowBreaks count="3" manualBreakCount="3">
    <brk id="154" max="16383" man="1"/>
    <brk id="235" max="16383" man="1"/>
    <brk id="308" min="2"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XFD576"/>
  <sheetViews>
    <sheetView showGridLines="0" view="pageBreakPreview" zoomScaleNormal="85" zoomScaleSheetLayoutView="100" workbookViewId="0">
      <pane ySplit="2" topLeftCell="A134" activePane="bottomLeft" state="frozen"/>
      <selection pane="bottomLeft" activeCell="F157" sqref="F157:J157"/>
    </sheetView>
  </sheetViews>
  <sheetFormatPr defaultColWidth="10.69921875" defaultRowHeight="14.4" x14ac:dyDescent="0.25"/>
  <cols>
    <col min="1" max="1" width="9.69921875" style="16" bestFit="1" customWidth="1"/>
    <col min="2" max="2" width="8.5" style="16" customWidth="1"/>
    <col min="3" max="3" width="4.5" style="113" customWidth="1"/>
    <col min="4" max="4" width="3.8984375" style="113" customWidth="1"/>
    <col min="5" max="5" width="4.3984375" style="113" customWidth="1"/>
    <col min="6" max="6" width="36.69921875" style="113" customWidth="1"/>
    <col min="7" max="9" width="10.09765625" style="16" bestFit="1" customWidth="1"/>
    <col min="10" max="10" width="8.8984375" style="16" customWidth="1"/>
    <col min="11" max="11" width="6.09765625" style="16" customWidth="1"/>
    <col min="12" max="12" width="15.8984375" style="16" customWidth="1"/>
    <col min="13" max="13" width="11.3984375" style="16" customWidth="1"/>
    <col min="14" max="16384" width="10.69921875" style="16"/>
  </cols>
  <sheetData>
    <row r="1" spans="1:12" ht="18" customHeight="1" x14ac:dyDescent="0.25">
      <c r="A1" s="145" t="s">
        <v>206</v>
      </c>
      <c r="B1" s="145"/>
      <c r="C1" s="71" t="str">
        <f>IF('Merge Details_Printing instr'!$B$11="Insert details here",'Merge Details_Printing instr'!$A$11,'Merge Details_Printing instr'!$B$11)</f>
        <v>Council Name</v>
      </c>
      <c r="D1" s="71"/>
      <c r="E1" s="71"/>
      <c r="F1" s="71"/>
      <c r="G1" s="2264" t="s">
        <v>303</v>
      </c>
      <c r="H1" s="2264"/>
      <c r="I1" s="2264"/>
      <c r="J1" s="2264"/>
      <c r="K1" s="18"/>
    </row>
    <row r="2" spans="1:12" s="122" customFormat="1" ht="18" customHeight="1" x14ac:dyDescent="0.25">
      <c r="A2" s="145" t="s">
        <v>696</v>
      </c>
      <c r="B2" s="145" t="s">
        <v>207</v>
      </c>
      <c r="C2" s="432" t="str">
        <f>+'Merge Details_Printing instr'!A12</f>
        <v>2023-2024 Financial Report</v>
      </c>
      <c r="D2" s="432"/>
      <c r="E2" s="432"/>
      <c r="F2" s="432"/>
      <c r="G2" s="2265" t="str">
        <f>'Merge Details_Printing instr'!$A$14</f>
        <v>For the Year Ended 30 June 2024</v>
      </c>
      <c r="H2" s="2265"/>
      <c r="I2" s="2265"/>
      <c r="J2" s="2265"/>
      <c r="K2" s="120"/>
    </row>
    <row r="3" spans="1:12" ht="3.75" customHeight="1" x14ac:dyDescent="0.25">
      <c r="C3" s="28"/>
      <c r="D3" s="28"/>
      <c r="E3" s="305"/>
      <c r="F3" s="305"/>
      <c r="G3" s="305"/>
      <c r="H3" s="305"/>
      <c r="I3" s="305"/>
      <c r="J3" s="305"/>
    </row>
    <row r="4" spans="1:12" ht="21.75" customHeight="1" x14ac:dyDescent="0.25">
      <c r="C4" s="956" t="s">
        <v>286</v>
      </c>
      <c r="D4" s="956">
        <v>9</v>
      </c>
      <c r="E4" s="2261" t="s">
        <v>1307</v>
      </c>
      <c r="F4" s="2261"/>
      <c r="G4" s="2267" t="s">
        <v>745</v>
      </c>
      <c r="H4" s="2267" t="s">
        <v>442</v>
      </c>
      <c r="I4" s="2267" t="s">
        <v>1175</v>
      </c>
      <c r="J4" s="2267" t="s">
        <v>746</v>
      </c>
      <c r="K4" s="1224"/>
    </row>
    <row r="5" spans="1:12" s="44" customFormat="1" ht="19.5" customHeight="1" x14ac:dyDescent="0.25">
      <c r="A5" s="145"/>
      <c r="B5" s="145"/>
      <c r="C5" s="989" t="s">
        <v>286</v>
      </c>
      <c r="D5" s="989">
        <f>'Note 6 to 8'!E282+1</f>
        <v>9.1</v>
      </c>
      <c r="E5" s="1167" t="s">
        <v>419</v>
      </c>
      <c r="F5" s="1167"/>
      <c r="G5" s="2267"/>
      <c r="H5" s="2267"/>
      <c r="I5" s="2267"/>
      <c r="J5" s="2267"/>
      <c r="K5" s="966"/>
    </row>
    <row r="6" spans="1:12" s="44" customFormat="1" ht="17.25" customHeight="1" x14ac:dyDescent="0.25">
      <c r="A6" s="254">
        <v>101</v>
      </c>
      <c r="B6" s="254" t="s">
        <v>815</v>
      </c>
      <c r="C6" s="963"/>
      <c r="D6" s="963"/>
      <c r="E6" s="956" t="s">
        <v>742</v>
      </c>
      <c r="F6" s="956"/>
      <c r="G6" s="1204" t="s">
        <v>60</v>
      </c>
      <c r="H6" s="1204" t="s">
        <v>60</v>
      </c>
      <c r="I6" s="1204" t="s">
        <v>60</v>
      </c>
      <c r="J6" s="1204" t="s">
        <v>60</v>
      </c>
      <c r="K6" s="966"/>
    </row>
    <row r="7" spans="1:12" x14ac:dyDescent="0.25">
      <c r="A7" s="254"/>
      <c r="B7" s="254"/>
      <c r="C7" s="1228"/>
      <c r="D7" s="1228"/>
      <c r="E7" s="1343">
        <f>'Merge Details_Printing instr'!A19</f>
        <v>2024</v>
      </c>
      <c r="F7" s="956" t="s">
        <v>452</v>
      </c>
      <c r="G7" s="1231"/>
      <c r="H7" s="1231"/>
      <c r="I7" s="1231"/>
      <c r="J7" s="1237"/>
      <c r="K7" s="1224"/>
      <c r="L7" s="246"/>
    </row>
    <row r="8" spans="1:12" x14ac:dyDescent="0.25">
      <c r="A8" s="254"/>
      <c r="B8" s="254"/>
      <c r="C8" s="1228"/>
      <c r="D8" s="1228"/>
      <c r="E8" s="1228"/>
      <c r="F8" s="1073" t="s">
        <v>92</v>
      </c>
      <c r="G8" s="981">
        <f>+J25</f>
        <v>38418</v>
      </c>
      <c r="H8" s="981">
        <v>3549</v>
      </c>
      <c r="I8" s="981">
        <v>0</v>
      </c>
      <c r="J8" s="1235">
        <f t="shared" ref="J8:J16" si="0">SUM(G8:I8)</f>
        <v>41967</v>
      </c>
      <c r="K8" s="1224"/>
      <c r="L8" s="246"/>
    </row>
    <row r="9" spans="1:12" x14ac:dyDescent="0.25">
      <c r="A9" s="254"/>
      <c r="B9" s="254"/>
      <c r="C9" s="1228"/>
      <c r="D9" s="1228"/>
      <c r="E9" s="1228"/>
      <c r="F9" s="1073" t="s">
        <v>179</v>
      </c>
      <c r="G9" s="981">
        <f>+J26</f>
        <v>0</v>
      </c>
      <c r="H9" s="981">
        <v>0</v>
      </c>
      <c r="I9" s="981">
        <v>0</v>
      </c>
      <c r="J9" s="1235">
        <f t="shared" si="0"/>
        <v>0</v>
      </c>
      <c r="K9" s="1224"/>
      <c r="L9" s="246"/>
    </row>
    <row r="10" spans="1:12" x14ac:dyDescent="0.25">
      <c r="A10" s="254"/>
      <c r="B10" s="254"/>
      <c r="C10" s="1228"/>
      <c r="D10" s="1228"/>
      <c r="E10" s="1228"/>
      <c r="F10" s="1073" t="s">
        <v>199</v>
      </c>
      <c r="G10" s="981">
        <f>+J27</f>
        <v>0</v>
      </c>
      <c r="H10" s="981">
        <v>0</v>
      </c>
      <c r="I10" s="981">
        <v>0</v>
      </c>
      <c r="J10" s="1235">
        <f t="shared" si="0"/>
        <v>0</v>
      </c>
      <c r="K10" s="1224"/>
      <c r="L10" s="246"/>
    </row>
    <row r="11" spans="1:12" x14ac:dyDescent="0.25">
      <c r="A11" s="254"/>
      <c r="B11" s="254"/>
      <c r="C11" s="1228"/>
      <c r="D11" s="1228"/>
      <c r="E11" s="1228"/>
      <c r="F11" s="1073" t="s">
        <v>93</v>
      </c>
      <c r="G11" s="981">
        <f>+J28</f>
        <v>18276</v>
      </c>
      <c r="H11" s="981">
        <v>2006</v>
      </c>
      <c r="I11" s="981">
        <v>0</v>
      </c>
      <c r="J11" s="1235">
        <f t="shared" si="0"/>
        <v>20282</v>
      </c>
      <c r="K11" s="1224"/>
    </row>
    <row r="12" spans="1:12" x14ac:dyDescent="0.25">
      <c r="A12" s="254"/>
      <c r="B12" s="254"/>
      <c r="C12" s="1228"/>
      <c r="D12" s="1228"/>
      <c r="E12" s="1228"/>
      <c r="F12" s="1073" t="s">
        <v>453</v>
      </c>
      <c r="G12" s="981">
        <f>+J29</f>
        <v>0</v>
      </c>
      <c r="H12" s="1066">
        <v>0</v>
      </c>
      <c r="I12" s="1066">
        <v>0</v>
      </c>
      <c r="J12" s="1344">
        <f t="shared" si="0"/>
        <v>0</v>
      </c>
      <c r="K12" s="1224"/>
    </row>
    <row r="13" spans="1:12" ht="17.25" customHeight="1" x14ac:dyDescent="0.25">
      <c r="A13" s="254"/>
      <c r="B13" s="254"/>
      <c r="C13" s="1228"/>
      <c r="D13" s="1228"/>
      <c r="E13" s="1228"/>
      <c r="F13" s="1073"/>
      <c r="G13" s="984">
        <f>SUM(G8:G12)</f>
        <v>56694</v>
      </c>
      <c r="H13" s="984">
        <f>SUM(H8:H12)</f>
        <v>5555</v>
      </c>
      <c r="I13" s="984">
        <f>SUM(I8:I12)</f>
        <v>0</v>
      </c>
      <c r="J13" s="1345">
        <f t="shared" si="0"/>
        <v>62249</v>
      </c>
      <c r="K13" s="1224"/>
    </row>
    <row r="14" spans="1:12" x14ac:dyDescent="0.25">
      <c r="A14" s="254"/>
      <c r="B14" s="254"/>
      <c r="C14" s="1228"/>
      <c r="D14" s="1228"/>
      <c r="E14" s="1228"/>
      <c r="F14" s="956" t="s">
        <v>94</v>
      </c>
      <c r="G14" s="981"/>
      <c r="H14" s="981"/>
      <c r="I14" s="981"/>
      <c r="J14" s="1235"/>
      <c r="K14" s="1224"/>
    </row>
    <row r="15" spans="1:12" x14ac:dyDescent="0.25">
      <c r="A15" s="254"/>
      <c r="B15" s="254"/>
      <c r="C15" s="1228"/>
      <c r="D15" s="1228"/>
      <c r="E15" s="1228"/>
      <c r="F15" s="1073" t="s">
        <v>262</v>
      </c>
      <c r="G15" s="981">
        <f>+J32</f>
        <v>35211</v>
      </c>
      <c r="H15" s="981">
        <v>0</v>
      </c>
      <c r="I15" s="981">
        <v>0</v>
      </c>
      <c r="J15" s="1235">
        <f t="shared" si="0"/>
        <v>35211</v>
      </c>
      <c r="K15" s="1224"/>
    </row>
    <row r="16" spans="1:12" x14ac:dyDescent="0.25">
      <c r="A16" s="254"/>
      <c r="B16" s="254"/>
      <c r="C16" s="1228"/>
      <c r="D16" s="1228"/>
      <c r="E16" s="1228"/>
      <c r="F16" s="1073" t="s">
        <v>614</v>
      </c>
      <c r="G16" s="981">
        <f>+J33</f>
        <v>1149</v>
      </c>
      <c r="H16" s="981">
        <v>0</v>
      </c>
      <c r="I16" s="981">
        <v>0</v>
      </c>
      <c r="J16" s="1235">
        <f t="shared" si="0"/>
        <v>1149</v>
      </c>
      <c r="K16" s="1224"/>
    </row>
    <row r="17" spans="1:11" x14ac:dyDescent="0.25">
      <c r="A17" s="254"/>
      <c r="B17" s="254"/>
      <c r="C17" s="1228"/>
      <c r="D17" s="1228"/>
      <c r="E17" s="1228"/>
      <c r="F17" s="1073" t="s">
        <v>591</v>
      </c>
      <c r="G17" s="981">
        <f>+J34</f>
        <v>5548</v>
      </c>
      <c r="H17" s="981">
        <v>0</v>
      </c>
      <c r="I17" s="981">
        <v>0</v>
      </c>
      <c r="J17" s="1235">
        <f>SUM(G17:I17)</f>
        <v>5548</v>
      </c>
      <c r="K17" s="1224"/>
    </row>
    <row r="18" spans="1:11" x14ac:dyDescent="0.25">
      <c r="A18" s="254"/>
      <c r="B18" s="254"/>
      <c r="C18" s="1228"/>
      <c r="D18" s="1228"/>
      <c r="E18" s="1228"/>
      <c r="F18" s="1073" t="s">
        <v>348</v>
      </c>
      <c r="G18" s="981">
        <f>+J35</f>
        <v>9238</v>
      </c>
      <c r="H18" s="981">
        <v>1082</v>
      </c>
      <c r="I18" s="981">
        <v>0</v>
      </c>
      <c r="J18" s="1235">
        <f>SUM(G18:I18)</f>
        <v>10320</v>
      </c>
      <c r="K18" s="1224"/>
    </row>
    <row r="19" spans="1:11" x14ac:dyDescent="0.25">
      <c r="A19" s="254"/>
      <c r="B19" s="254"/>
      <c r="C19" s="1228"/>
      <c r="D19" s="1228"/>
      <c r="E19" s="1228"/>
      <c r="F19" s="1147" t="s">
        <v>1315</v>
      </c>
      <c r="G19" s="981">
        <v>0</v>
      </c>
      <c r="H19" s="981">
        <v>0</v>
      </c>
      <c r="I19" s="981">
        <v>0</v>
      </c>
      <c r="J19" s="1235">
        <f>SUM(G19:I19)</f>
        <v>0</v>
      </c>
      <c r="K19" s="1224"/>
    </row>
    <row r="20" spans="1:11" x14ac:dyDescent="0.25">
      <c r="A20" s="254"/>
      <c r="B20" s="254"/>
      <c r="C20" s="1228"/>
      <c r="D20" s="1228"/>
      <c r="E20" s="1228"/>
      <c r="F20" s="1147" t="s">
        <v>441</v>
      </c>
      <c r="G20" s="981">
        <f>+J37</f>
        <v>0</v>
      </c>
      <c r="H20" s="1066">
        <v>0</v>
      </c>
      <c r="I20" s="1066">
        <v>0</v>
      </c>
      <c r="J20" s="1344">
        <f>SUM(G20:I20)</f>
        <v>0</v>
      </c>
      <c r="K20" s="1224"/>
    </row>
    <row r="21" spans="1:11" x14ac:dyDescent="0.25">
      <c r="A21" s="254"/>
      <c r="B21" s="254"/>
      <c r="C21" s="1228"/>
      <c r="D21" s="1228"/>
      <c r="E21" s="963"/>
      <c r="F21" s="963"/>
      <c r="G21" s="1346">
        <f>SUM(G15:G20)</f>
        <v>51146</v>
      </c>
      <c r="H21" s="985">
        <f>SUM(H15:H20)</f>
        <v>1082</v>
      </c>
      <c r="I21" s="985">
        <f>SUM(I15:I20)</f>
        <v>0</v>
      </c>
      <c r="J21" s="1347">
        <f>SUM(G21:I21)</f>
        <v>52228</v>
      </c>
      <c r="K21" s="1224"/>
    </row>
    <row r="22" spans="1:11" x14ac:dyDescent="0.25">
      <c r="A22" s="254"/>
      <c r="B22" s="254"/>
      <c r="C22" s="1228"/>
      <c r="D22" s="1228"/>
      <c r="E22" s="1224"/>
      <c r="F22" s="956" t="s">
        <v>741</v>
      </c>
      <c r="G22" s="1024">
        <f>G21+G13</f>
        <v>107840</v>
      </c>
      <c r="H22" s="1024">
        <f>H21+H13</f>
        <v>6637</v>
      </c>
      <c r="I22" s="1024">
        <f>I21+I13</f>
        <v>0</v>
      </c>
      <c r="J22" s="1348">
        <f>J21+J13</f>
        <v>114477</v>
      </c>
      <c r="K22" s="966"/>
    </row>
    <row r="23" spans="1:11" ht="9" customHeight="1" x14ac:dyDescent="0.25">
      <c r="A23" s="254"/>
      <c r="B23" s="254"/>
      <c r="C23" s="1228"/>
      <c r="D23" s="1228"/>
      <c r="E23" s="1224"/>
      <c r="F23" s="956"/>
      <c r="G23" s="1005"/>
      <c r="H23" s="1005"/>
      <c r="I23" s="1005"/>
      <c r="J23" s="1349"/>
      <c r="K23" s="966"/>
    </row>
    <row r="24" spans="1:11" x14ac:dyDescent="0.25">
      <c r="A24" s="254"/>
      <c r="B24" s="254"/>
      <c r="C24" s="1228"/>
      <c r="D24" s="1228"/>
      <c r="E24" s="1236">
        <f>'Merge Details_Printing instr'!A20</f>
        <v>2023</v>
      </c>
      <c r="F24" s="1133" t="s">
        <v>452</v>
      </c>
      <c r="G24" s="1350"/>
      <c r="H24" s="1350"/>
      <c r="I24" s="1350"/>
      <c r="J24" s="1350"/>
      <c r="K24" s="1224"/>
    </row>
    <row r="25" spans="1:11" x14ac:dyDescent="0.25">
      <c r="A25" s="254"/>
      <c r="B25" s="254"/>
      <c r="C25" s="1228"/>
      <c r="D25" s="1228"/>
      <c r="E25" s="1224"/>
      <c r="F25" s="1234" t="s">
        <v>92</v>
      </c>
      <c r="G25" s="1232">
        <v>38418</v>
      </c>
      <c r="H25" s="1232">
        <v>0</v>
      </c>
      <c r="I25" s="1232">
        <v>0</v>
      </c>
      <c r="J25" s="1235">
        <f t="shared" ref="J25:J30" si="1">SUM(G25:I25)</f>
        <v>38418</v>
      </c>
      <c r="K25" s="1224"/>
    </row>
    <row r="26" spans="1:11" x14ac:dyDescent="0.25">
      <c r="A26" s="254"/>
      <c r="B26" s="254"/>
      <c r="C26" s="1228"/>
      <c r="D26" s="1228"/>
      <c r="E26" s="1224"/>
      <c r="F26" s="1234" t="s">
        <v>179</v>
      </c>
      <c r="G26" s="1232">
        <v>0</v>
      </c>
      <c r="H26" s="1232">
        <v>0</v>
      </c>
      <c r="I26" s="1232">
        <v>0</v>
      </c>
      <c r="J26" s="1235">
        <f t="shared" si="1"/>
        <v>0</v>
      </c>
      <c r="K26" s="1224"/>
    </row>
    <row r="27" spans="1:11" x14ac:dyDescent="0.25">
      <c r="A27" s="254"/>
      <c r="B27" s="254"/>
      <c r="C27" s="1228"/>
      <c r="D27" s="1228"/>
      <c r="E27" s="1224"/>
      <c r="F27" s="1234" t="s">
        <v>199</v>
      </c>
      <c r="G27" s="1232">
        <v>0</v>
      </c>
      <c r="H27" s="1232">
        <v>0</v>
      </c>
      <c r="I27" s="1232">
        <v>0</v>
      </c>
      <c r="J27" s="1235">
        <f t="shared" si="1"/>
        <v>0</v>
      </c>
      <c r="K27" s="1224"/>
    </row>
    <row r="28" spans="1:11" x14ac:dyDescent="0.25">
      <c r="A28" s="254"/>
      <c r="B28" s="254"/>
      <c r="C28" s="1228"/>
      <c r="D28" s="1228"/>
      <c r="E28" s="1224"/>
      <c r="F28" s="1234" t="s">
        <v>93</v>
      </c>
      <c r="G28" s="1232">
        <v>18276</v>
      </c>
      <c r="H28" s="1232">
        <v>0</v>
      </c>
      <c r="I28" s="1232">
        <v>0</v>
      </c>
      <c r="J28" s="1235">
        <f t="shared" si="1"/>
        <v>18276</v>
      </c>
      <c r="K28" s="1224"/>
    </row>
    <row r="29" spans="1:11" x14ac:dyDescent="0.25">
      <c r="A29" s="254"/>
      <c r="B29" s="254"/>
      <c r="C29" s="1228"/>
      <c r="D29" s="1228"/>
      <c r="E29" s="1224"/>
      <c r="F29" s="1234" t="s">
        <v>453</v>
      </c>
      <c r="G29" s="1344">
        <v>0</v>
      </c>
      <c r="H29" s="1344">
        <v>0</v>
      </c>
      <c r="I29" s="1344">
        <v>0</v>
      </c>
      <c r="J29" s="1344">
        <f t="shared" si="1"/>
        <v>0</v>
      </c>
      <c r="K29" s="1224"/>
    </row>
    <row r="30" spans="1:11" x14ac:dyDescent="0.25">
      <c r="A30" s="254"/>
      <c r="B30" s="254"/>
      <c r="C30" s="1228"/>
      <c r="D30" s="1228"/>
      <c r="E30" s="1224"/>
      <c r="F30" s="1234"/>
      <c r="G30" s="1345">
        <f>SUM(G25:G29)</f>
        <v>56694</v>
      </c>
      <c r="H30" s="1345">
        <f>SUM(H25:H29)</f>
        <v>0</v>
      </c>
      <c r="I30" s="1345">
        <f>SUM(I25:I29)</f>
        <v>0</v>
      </c>
      <c r="J30" s="1345">
        <f t="shared" si="1"/>
        <v>56694</v>
      </c>
      <c r="K30" s="1224"/>
    </row>
    <row r="31" spans="1:11" x14ac:dyDescent="0.25">
      <c r="A31" s="254"/>
      <c r="B31" s="254"/>
      <c r="C31" s="1228"/>
      <c r="D31" s="1228"/>
      <c r="E31" s="1224"/>
      <c r="F31" s="1133" t="s">
        <v>94</v>
      </c>
      <c r="G31" s="1232"/>
      <c r="H31" s="1232"/>
      <c r="I31" s="1232"/>
      <c r="J31" s="1235"/>
      <c r="K31" s="1224"/>
    </row>
    <row r="32" spans="1:11" x14ac:dyDescent="0.25">
      <c r="A32" s="254"/>
      <c r="B32" s="254"/>
      <c r="C32" s="1228"/>
      <c r="D32" s="1228"/>
      <c r="E32" s="1224"/>
      <c r="F32" s="1234" t="s">
        <v>262</v>
      </c>
      <c r="G32" s="1232">
        <f>20379+10190+4642</f>
        <v>35211</v>
      </c>
      <c r="H32" s="1232">
        <v>0</v>
      </c>
      <c r="I32" s="1232">
        <v>0</v>
      </c>
      <c r="J32" s="1235">
        <f t="shared" ref="J32:J38" si="2">SUM(G32:I32)</f>
        <v>35211</v>
      </c>
      <c r="K32" s="1224"/>
    </row>
    <row r="33" spans="1:11" x14ac:dyDescent="0.25">
      <c r="A33" s="254"/>
      <c r="B33" s="254"/>
      <c r="C33" s="1228"/>
      <c r="D33" s="1228"/>
      <c r="E33" s="1224"/>
      <c r="F33" s="1234" t="s">
        <v>614</v>
      </c>
      <c r="G33" s="1232">
        <f>460+689</f>
        <v>1149</v>
      </c>
      <c r="H33" s="1232">
        <v>0</v>
      </c>
      <c r="I33" s="1232">
        <v>0</v>
      </c>
      <c r="J33" s="1235">
        <f t="shared" si="2"/>
        <v>1149</v>
      </c>
      <c r="K33" s="1224"/>
    </row>
    <row r="34" spans="1:11" x14ac:dyDescent="0.25">
      <c r="A34" s="254"/>
      <c r="B34" s="254"/>
      <c r="C34" s="1228"/>
      <c r="D34" s="1228"/>
      <c r="E34" s="1224"/>
      <c r="F34" s="1073" t="s">
        <v>591</v>
      </c>
      <c r="G34" s="981">
        <f>2038+3510</f>
        <v>5548</v>
      </c>
      <c r="H34" s="981">
        <v>0</v>
      </c>
      <c r="I34" s="981">
        <v>0</v>
      </c>
      <c r="J34" s="980">
        <f t="shared" si="2"/>
        <v>5548</v>
      </c>
      <c r="K34" s="1224"/>
    </row>
    <row r="35" spans="1:11" x14ac:dyDescent="0.25">
      <c r="A35" s="254"/>
      <c r="B35" s="254"/>
      <c r="C35" s="1228"/>
      <c r="D35" s="1228"/>
      <c r="E35" s="1224"/>
      <c r="F35" s="1073" t="s">
        <v>348</v>
      </c>
      <c r="G35" s="981">
        <v>9238</v>
      </c>
      <c r="H35" s="981">
        <v>0</v>
      </c>
      <c r="I35" s="981">
        <v>0</v>
      </c>
      <c r="J35" s="980">
        <f t="shared" si="2"/>
        <v>9238</v>
      </c>
      <c r="K35" s="1224"/>
    </row>
    <row r="36" spans="1:11" x14ac:dyDescent="0.25">
      <c r="A36" s="254"/>
      <c r="B36" s="254"/>
      <c r="C36" s="1228"/>
      <c r="D36" s="1228"/>
      <c r="E36" s="1224"/>
      <c r="F36" s="1147" t="s">
        <v>1315</v>
      </c>
      <c r="G36" s="981">
        <v>0</v>
      </c>
      <c r="H36" s="981">
        <v>0</v>
      </c>
      <c r="I36" s="981">
        <v>0</v>
      </c>
      <c r="J36" s="980">
        <f t="shared" si="2"/>
        <v>0</v>
      </c>
      <c r="K36" s="1224"/>
    </row>
    <row r="37" spans="1:11" x14ac:dyDescent="0.25">
      <c r="A37" s="254"/>
      <c r="B37" s="254"/>
      <c r="C37" s="1228"/>
      <c r="D37" s="1228"/>
      <c r="E37" s="1224"/>
      <c r="F37" s="1147" t="str">
        <f>F20</f>
        <v>Other infrastructure &lt;insert details&gt;</v>
      </c>
      <c r="G37" s="1066">
        <v>0</v>
      </c>
      <c r="H37" s="1066">
        <v>0</v>
      </c>
      <c r="I37" s="1066">
        <v>0</v>
      </c>
      <c r="J37" s="1066">
        <f t="shared" si="2"/>
        <v>0</v>
      </c>
      <c r="K37" s="1224"/>
    </row>
    <row r="38" spans="1:11" x14ac:dyDescent="0.25">
      <c r="A38" s="254"/>
      <c r="B38" s="254"/>
      <c r="C38" s="1228"/>
      <c r="D38" s="1228"/>
      <c r="E38" s="963"/>
      <c r="F38" s="963"/>
      <c r="G38" s="985">
        <f>SUM(G32:G37)</f>
        <v>51146</v>
      </c>
      <c r="H38" s="985">
        <f>SUM(H32:H37)</f>
        <v>0</v>
      </c>
      <c r="I38" s="985">
        <f>SUM(I32:I37)</f>
        <v>0</v>
      </c>
      <c r="J38" s="1351">
        <f t="shared" si="2"/>
        <v>51146</v>
      </c>
      <c r="K38" s="1224"/>
    </row>
    <row r="39" spans="1:11" x14ac:dyDescent="0.25">
      <c r="A39" s="254"/>
      <c r="B39" s="254"/>
      <c r="C39" s="1228"/>
      <c r="D39" s="1228"/>
      <c r="E39" s="1224"/>
      <c r="F39" s="956" t="s">
        <v>741</v>
      </c>
      <c r="G39" s="984">
        <v>107840</v>
      </c>
      <c r="H39" s="984">
        <v>0</v>
      </c>
      <c r="I39" s="984">
        <v>0</v>
      </c>
      <c r="J39" s="984">
        <f>SUM(G39:I39)</f>
        <v>107840</v>
      </c>
      <c r="K39" s="966"/>
    </row>
    <row r="40" spans="1:11" ht="31.5" customHeight="1" x14ac:dyDescent="0.25">
      <c r="A40" s="254"/>
      <c r="B40" s="254"/>
      <c r="C40" s="1228"/>
      <c r="D40" s="1228"/>
      <c r="E40" s="2266" t="s">
        <v>440</v>
      </c>
      <c r="F40" s="2266"/>
      <c r="G40" s="2266"/>
      <c r="H40" s="2266"/>
      <c r="I40" s="2266"/>
      <c r="J40" s="2266"/>
      <c r="K40" s="1224"/>
    </row>
    <row r="41" spans="1:11" ht="5.25" customHeight="1" x14ac:dyDescent="0.25">
      <c r="A41" s="254"/>
      <c r="B41" s="254"/>
      <c r="C41" s="1228"/>
      <c r="D41" s="1228"/>
      <c r="E41" s="963"/>
      <c r="F41" s="963"/>
      <c r="G41" s="1165"/>
      <c r="H41" s="1165"/>
      <c r="I41" s="1165"/>
      <c r="J41" s="1165"/>
      <c r="K41" s="1224"/>
    </row>
    <row r="42" spans="1:11" ht="27.75" customHeight="1" x14ac:dyDescent="0.25">
      <c r="C42" s="1901"/>
      <c r="D42" s="1901"/>
      <c r="E42" s="2262"/>
      <c r="F42" s="2262"/>
      <c r="G42" s="2263" t="s">
        <v>745</v>
      </c>
      <c r="H42" s="2263" t="s">
        <v>442</v>
      </c>
      <c r="I42" s="2263" t="s">
        <v>1175</v>
      </c>
      <c r="J42" s="2263" t="s">
        <v>746</v>
      </c>
      <c r="K42" s="1224"/>
    </row>
    <row r="43" spans="1:11" s="44" customFormat="1" ht="28.5" customHeight="1" x14ac:dyDescent="0.25">
      <c r="A43" s="145"/>
      <c r="B43" s="145"/>
      <c r="C43" s="989"/>
      <c r="D43" s="989"/>
      <c r="E43" s="1919"/>
      <c r="F43" s="1919"/>
      <c r="G43" s="2263"/>
      <c r="H43" s="2263"/>
      <c r="I43" s="2263"/>
      <c r="J43" s="2263"/>
      <c r="K43" s="966"/>
    </row>
    <row r="44" spans="1:11" x14ac:dyDescent="0.25">
      <c r="A44" s="254">
        <v>101</v>
      </c>
      <c r="B44" s="254" t="s">
        <v>815</v>
      </c>
      <c r="C44" s="963"/>
      <c r="D44" s="963"/>
      <c r="E44" s="1902" t="s">
        <v>743</v>
      </c>
      <c r="F44" s="1902"/>
      <c r="G44" s="1920" t="s">
        <v>60</v>
      </c>
      <c r="H44" s="1920" t="s">
        <v>60</v>
      </c>
      <c r="I44" s="1920" t="s">
        <v>60</v>
      </c>
      <c r="J44" s="1920" t="s">
        <v>60</v>
      </c>
      <c r="K44" s="966"/>
    </row>
    <row r="45" spans="1:11" ht="9" customHeight="1" x14ac:dyDescent="0.25">
      <c r="A45" s="254"/>
      <c r="B45" s="254"/>
      <c r="C45" s="963"/>
      <c r="D45" s="963"/>
      <c r="E45" s="1224"/>
      <c r="F45" s="1343"/>
      <c r="G45" s="1352"/>
      <c r="H45" s="1352"/>
      <c r="I45" s="1352"/>
      <c r="J45" s="1352"/>
      <c r="K45" s="1224"/>
    </row>
    <row r="46" spans="1:11" x14ac:dyDescent="0.25">
      <c r="A46" s="254"/>
      <c r="B46" s="254"/>
      <c r="C46" s="963"/>
      <c r="D46" s="963"/>
      <c r="E46" s="1343">
        <f>'Merge Details_Printing instr'!A19</f>
        <v>2024</v>
      </c>
      <c r="F46" s="956" t="s">
        <v>1350</v>
      </c>
      <c r="G46" s="1231"/>
      <c r="H46" s="1231"/>
      <c r="I46" s="1231"/>
      <c r="J46" s="1238"/>
      <c r="K46" s="1224"/>
    </row>
    <row r="47" spans="1:11" x14ac:dyDescent="0.25">
      <c r="A47" s="254"/>
      <c r="B47" s="254"/>
      <c r="C47" s="963"/>
      <c r="D47" s="963"/>
      <c r="E47" s="1224"/>
      <c r="F47" s="1073" t="s">
        <v>544</v>
      </c>
      <c r="G47" s="1066">
        <f>J51</f>
        <v>840</v>
      </c>
      <c r="H47" s="1066">
        <f>'Statement Changes in Equity'!I19</f>
        <v>110</v>
      </c>
      <c r="I47" s="1066">
        <v>0</v>
      </c>
      <c r="J47" s="1066">
        <f>SUM(G47:I47)</f>
        <v>950</v>
      </c>
      <c r="K47" s="1353"/>
    </row>
    <row r="48" spans="1:11" x14ac:dyDescent="0.25">
      <c r="A48" s="254"/>
      <c r="B48" s="254"/>
      <c r="C48" s="963"/>
      <c r="D48" s="963"/>
      <c r="E48" s="1224"/>
      <c r="F48" s="956" t="s">
        <v>744</v>
      </c>
      <c r="G48" s="984">
        <f>SUM(G47:G47)</f>
        <v>840</v>
      </c>
      <c r="H48" s="984">
        <f>SUM(H47:H47)</f>
        <v>110</v>
      </c>
      <c r="I48" s="984">
        <f>SUM(I47:I47)</f>
        <v>0</v>
      </c>
      <c r="J48" s="984">
        <f>SUM(G48:I48)</f>
        <v>950</v>
      </c>
      <c r="K48" s="966"/>
    </row>
    <row r="49" spans="1:19" ht="9" customHeight="1" x14ac:dyDescent="0.25">
      <c r="A49" s="254"/>
      <c r="B49" s="254"/>
      <c r="C49" s="963"/>
      <c r="D49" s="963"/>
      <c r="E49" s="1224"/>
      <c r="F49" s="1073"/>
      <c r="G49" s="985"/>
      <c r="H49" s="985"/>
      <c r="I49" s="985"/>
      <c r="J49" s="1351"/>
      <c r="K49" s="1224"/>
    </row>
    <row r="50" spans="1:19" x14ac:dyDescent="0.25">
      <c r="A50" s="254"/>
      <c r="B50" s="254"/>
      <c r="C50" s="963"/>
      <c r="D50" s="963"/>
      <c r="E50" s="1343">
        <f>'Merge Details_Printing instr'!A20</f>
        <v>2023</v>
      </c>
      <c r="F50" s="956" t="s">
        <v>1350</v>
      </c>
      <c r="G50" s="1231"/>
      <c r="H50" s="1231"/>
      <c r="I50" s="1231"/>
      <c r="J50" s="1238"/>
      <c r="K50" s="1224"/>
      <c r="L50" s="496"/>
      <c r="M50" s="496"/>
      <c r="N50" s="496"/>
      <c r="O50" s="496"/>
      <c r="P50" s="496"/>
      <c r="Q50" s="496"/>
      <c r="R50" s="496"/>
      <c r="S50" s="496"/>
    </row>
    <row r="51" spans="1:19" x14ac:dyDescent="0.25">
      <c r="A51" s="254"/>
      <c r="B51" s="254"/>
      <c r="C51" s="963"/>
      <c r="D51" s="963"/>
      <c r="E51" s="1224"/>
      <c r="F51" s="1073" t="s">
        <v>544</v>
      </c>
      <c r="G51" s="1066">
        <f>+J68</f>
        <v>0</v>
      </c>
      <c r="H51" s="1066">
        <f>'Statement Changes in Equity'!I39</f>
        <v>840</v>
      </c>
      <c r="I51" s="1066">
        <v>0</v>
      </c>
      <c r="J51" s="1066">
        <f>SUM(G51:I51)</f>
        <v>840</v>
      </c>
      <c r="K51" s="1353"/>
      <c r="L51" s="496"/>
      <c r="M51" s="496"/>
      <c r="N51" s="496"/>
      <c r="O51" s="496"/>
      <c r="P51" s="496"/>
      <c r="Q51" s="496"/>
      <c r="R51" s="496"/>
      <c r="S51" s="496"/>
    </row>
    <row r="52" spans="1:19" x14ac:dyDescent="0.25">
      <c r="A52" s="254"/>
      <c r="B52" s="254"/>
      <c r="C52" s="963"/>
      <c r="D52" s="963"/>
      <c r="E52" s="1224"/>
      <c r="F52" s="956" t="s">
        <v>744</v>
      </c>
      <c r="G52" s="984">
        <f>SUM(G51:G51)</f>
        <v>0</v>
      </c>
      <c r="H52" s="984">
        <f>SUM(H51:H51)</f>
        <v>840</v>
      </c>
      <c r="I52" s="984">
        <f>SUM(I51:I51)</f>
        <v>0</v>
      </c>
      <c r="J52" s="984">
        <f>SUM(G52:I52)</f>
        <v>840</v>
      </c>
      <c r="K52" s="966"/>
      <c r="L52" s="496"/>
      <c r="M52" s="496"/>
      <c r="N52" s="496"/>
      <c r="O52" s="496"/>
      <c r="P52" s="496"/>
      <c r="Q52" s="496"/>
      <c r="R52" s="496"/>
      <c r="S52" s="496"/>
    </row>
    <row r="53" spans="1:19" ht="39" customHeight="1" x14ac:dyDescent="0.25">
      <c r="A53" s="254"/>
      <c r="B53" s="254"/>
      <c r="C53" s="963"/>
      <c r="D53" s="963"/>
      <c r="E53" s="2147" t="s">
        <v>1789</v>
      </c>
      <c r="F53" s="2147"/>
      <c r="G53" s="2147"/>
      <c r="H53" s="2147"/>
      <c r="I53" s="2147"/>
      <c r="J53" s="2147"/>
      <c r="K53" s="1224"/>
      <c r="L53" s="496"/>
      <c r="M53" s="496"/>
      <c r="N53" s="496"/>
      <c r="O53" s="496"/>
      <c r="P53" s="496"/>
      <c r="Q53" s="496"/>
      <c r="R53" s="496"/>
      <c r="S53" s="496"/>
    </row>
    <row r="54" spans="1:19" ht="5.25" customHeight="1" x14ac:dyDescent="0.25">
      <c r="A54" s="254"/>
      <c r="B54" s="254"/>
      <c r="C54" s="963"/>
      <c r="D54" s="963"/>
      <c r="E54" s="1073"/>
      <c r="F54" s="1073"/>
      <c r="G54" s="985"/>
      <c r="H54" s="985"/>
      <c r="I54" s="985"/>
      <c r="J54" s="1351"/>
      <c r="K54" s="1224"/>
      <c r="L54" s="496"/>
      <c r="M54" s="496"/>
      <c r="N54" s="496"/>
      <c r="O54" s="496"/>
      <c r="P54" s="496"/>
      <c r="Q54" s="496"/>
      <c r="R54" s="496"/>
      <c r="S54" s="496"/>
    </row>
    <row r="55" spans="1:19" ht="29.25" customHeight="1" x14ac:dyDescent="0.25">
      <c r="C55" s="1901"/>
      <c r="D55" s="1902"/>
      <c r="E55" s="2262"/>
      <c r="F55" s="2262"/>
      <c r="G55" s="2263" t="s">
        <v>745</v>
      </c>
      <c r="H55" s="2263" t="s">
        <v>1943</v>
      </c>
      <c r="I55" s="2263" t="s">
        <v>1944</v>
      </c>
      <c r="J55" s="2263" t="s">
        <v>746</v>
      </c>
      <c r="K55" s="1224"/>
    </row>
    <row r="56" spans="1:19" s="44" customFormat="1" ht="26.25" customHeight="1" x14ac:dyDescent="0.25">
      <c r="A56" s="145"/>
      <c r="B56" s="145"/>
      <c r="C56" s="989"/>
      <c r="D56" s="1918"/>
      <c r="E56" s="1919"/>
      <c r="F56" s="1919"/>
      <c r="G56" s="2263"/>
      <c r="H56" s="2263"/>
      <c r="I56" s="2263"/>
      <c r="J56" s="2263"/>
      <c r="K56" s="966"/>
    </row>
    <row r="57" spans="1:19" ht="16.5" customHeight="1" x14ac:dyDescent="0.25">
      <c r="A57" s="254">
        <v>101</v>
      </c>
      <c r="B57" s="254" t="s">
        <v>815</v>
      </c>
      <c r="C57" s="963"/>
      <c r="D57" s="1065"/>
      <c r="E57" s="1902" t="s">
        <v>81</v>
      </c>
      <c r="F57" s="1902"/>
      <c r="G57" s="1920" t="s">
        <v>60</v>
      </c>
      <c r="H57" s="1920" t="s">
        <v>60</v>
      </c>
      <c r="I57" s="1920" t="s">
        <v>60</v>
      </c>
      <c r="J57" s="1920" t="s">
        <v>60</v>
      </c>
      <c r="K57" s="1224"/>
      <c r="L57" s="496"/>
      <c r="M57" s="496"/>
      <c r="N57" s="496"/>
      <c r="O57" s="496"/>
      <c r="P57" s="496"/>
      <c r="Q57" s="496"/>
      <c r="R57" s="496"/>
      <c r="S57" s="496"/>
    </row>
    <row r="58" spans="1:19" ht="9" customHeight="1" x14ac:dyDescent="0.25">
      <c r="A58" s="254"/>
      <c r="B58" s="254"/>
      <c r="C58" s="963"/>
      <c r="D58" s="1228"/>
      <c r="E58" s="1224"/>
      <c r="F58" s="1226"/>
      <c r="G58" s="1224"/>
      <c r="H58" s="1224"/>
      <c r="I58" s="1224"/>
      <c r="J58" s="1224"/>
      <c r="K58" s="1224"/>
      <c r="L58" s="496"/>
      <c r="M58" s="496"/>
      <c r="N58" s="496"/>
      <c r="O58" s="496"/>
      <c r="P58" s="496"/>
      <c r="Q58" s="496"/>
      <c r="R58" s="496"/>
      <c r="S58" s="496"/>
    </row>
    <row r="59" spans="1:19" ht="16.5" customHeight="1" x14ac:dyDescent="0.25">
      <c r="A59" s="254"/>
      <c r="B59" s="254"/>
      <c r="C59" s="1228"/>
      <c r="D59" s="1228"/>
      <c r="E59" s="1226">
        <f>'Merge Details_Printing instr'!A19</f>
        <v>2024</v>
      </c>
      <c r="F59" s="1228" t="s">
        <v>1556</v>
      </c>
      <c r="G59" s="1232">
        <v>1369</v>
      </c>
      <c r="H59" s="1232">
        <v>0</v>
      </c>
      <c r="I59" s="1232">
        <v>0</v>
      </c>
      <c r="J59" s="1232">
        <f>SUM(G59:I59)</f>
        <v>1369</v>
      </c>
      <c r="K59" s="1224"/>
      <c r="L59" s="496"/>
      <c r="M59" s="496"/>
      <c r="N59" s="496"/>
      <c r="O59" s="496"/>
      <c r="P59" s="496"/>
      <c r="Q59" s="496"/>
      <c r="R59" s="496"/>
      <c r="S59" s="496"/>
    </row>
    <row r="60" spans="1:19" ht="16.5" customHeight="1" x14ac:dyDescent="0.25">
      <c r="A60" s="254"/>
      <c r="B60" s="254"/>
      <c r="C60" s="1228"/>
      <c r="D60" s="1228"/>
      <c r="E60" s="1224"/>
      <c r="F60" s="1133" t="s">
        <v>537</v>
      </c>
      <c r="G60" s="1345">
        <f>G59</f>
        <v>1369</v>
      </c>
      <c r="H60" s="1345">
        <f>H59</f>
        <v>0</v>
      </c>
      <c r="I60" s="1345">
        <f>I59</f>
        <v>0</v>
      </c>
      <c r="J60" s="1345">
        <f>J59</f>
        <v>1369</v>
      </c>
      <c r="K60" s="1224"/>
      <c r="L60" s="496"/>
      <c r="M60" s="496"/>
      <c r="N60" s="496"/>
      <c r="O60" s="496"/>
      <c r="P60" s="496"/>
      <c r="Q60" s="496"/>
      <c r="R60" s="496"/>
      <c r="S60" s="496"/>
    </row>
    <row r="61" spans="1:19" ht="9" customHeight="1" x14ac:dyDescent="0.25">
      <c r="A61" s="254"/>
      <c r="B61" s="254"/>
      <c r="C61" s="1228"/>
      <c r="D61" s="1228"/>
      <c r="E61" s="1133"/>
      <c r="F61" s="1133"/>
      <c r="G61" s="1232"/>
      <c r="H61" s="1232"/>
      <c r="I61" s="1232"/>
      <c r="J61" s="1232"/>
      <c r="K61" s="1224"/>
    </row>
    <row r="62" spans="1:19" ht="16.5" customHeight="1" x14ac:dyDescent="0.25">
      <c r="A62" s="254"/>
      <c r="B62" s="254"/>
      <c r="C62" s="1228"/>
      <c r="D62" s="1228"/>
      <c r="E62" s="1226">
        <f>'Merge Details_Printing instr'!A20</f>
        <v>2023</v>
      </c>
      <c r="F62" s="1228" t="s">
        <v>1556</v>
      </c>
      <c r="G62" s="1232">
        <v>1369</v>
      </c>
      <c r="H62" s="1232">
        <v>0</v>
      </c>
      <c r="I62" s="1232">
        <v>0</v>
      </c>
      <c r="J62" s="1232">
        <f>SUM(G62:I62)</f>
        <v>1369</v>
      </c>
      <c r="K62" s="1224"/>
    </row>
    <row r="63" spans="1:19" x14ac:dyDescent="0.25">
      <c r="A63" s="254"/>
      <c r="B63" s="254"/>
      <c r="C63" s="1228"/>
      <c r="D63" s="1228"/>
      <c r="E63" s="1224"/>
      <c r="F63" s="1133" t="s">
        <v>537</v>
      </c>
      <c r="G63" s="1345">
        <f>G62</f>
        <v>1369</v>
      </c>
      <c r="H63" s="1345">
        <f>H62</f>
        <v>0</v>
      </c>
      <c r="I63" s="1345">
        <f>I62</f>
        <v>0</v>
      </c>
      <c r="J63" s="1345">
        <f>J62</f>
        <v>1369</v>
      </c>
      <c r="K63" s="1224"/>
    </row>
    <row r="64" spans="1:19" ht="30.75" customHeight="1" x14ac:dyDescent="0.25">
      <c r="A64" s="254"/>
      <c r="B64" s="254"/>
      <c r="C64" s="1228"/>
      <c r="D64" s="1228"/>
      <c r="E64" s="2244" t="s">
        <v>1733</v>
      </c>
      <c r="F64" s="2244"/>
      <c r="G64" s="2244"/>
      <c r="H64" s="2244"/>
      <c r="I64" s="2244"/>
      <c r="J64" s="2244"/>
      <c r="K64" s="1224"/>
    </row>
    <row r="65" spans="1:12" ht="8.1" customHeight="1" thickBot="1" x14ac:dyDescent="0.3">
      <c r="A65" s="254"/>
      <c r="B65" s="254"/>
      <c r="C65" s="1228"/>
      <c r="D65" s="1228"/>
      <c r="E65" s="1354"/>
      <c r="F65" s="1354"/>
      <c r="G65" s="1354"/>
      <c r="H65" s="1354"/>
      <c r="I65" s="1354"/>
      <c r="J65" s="1354"/>
      <c r="K65" s="1224"/>
    </row>
    <row r="66" spans="1:12" ht="15" thickBot="1" x14ac:dyDescent="0.3">
      <c r="A66" s="254">
        <v>101</v>
      </c>
      <c r="B66" s="254" t="s">
        <v>1734</v>
      </c>
      <c r="C66" s="1228"/>
      <c r="D66" s="1228"/>
      <c r="E66" s="1921" t="s">
        <v>1756</v>
      </c>
      <c r="F66" s="1922"/>
      <c r="G66" s="1923"/>
      <c r="H66" s="1924"/>
      <c r="I66" s="958">
        <f>+'Merge Details_Printing instr'!A19</f>
        <v>2024</v>
      </c>
      <c r="J66" s="958">
        <f>+'Merge Details_Printing instr'!A20</f>
        <v>2023</v>
      </c>
      <c r="K66" s="1224"/>
    </row>
    <row r="67" spans="1:12" x14ac:dyDescent="0.25">
      <c r="A67" s="254"/>
      <c r="B67" s="254"/>
      <c r="C67" s="1228"/>
      <c r="D67" s="963"/>
      <c r="E67" s="1201"/>
      <c r="F67" s="1201"/>
      <c r="G67" s="1201"/>
      <c r="H67" s="1201"/>
      <c r="I67" s="958" t="str">
        <f>+'Merge Details_Printing instr'!A24</f>
        <v>$'000</v>
      </c>
      <c r="J67" s="958" t="str">
        <f>+'Merge Details_Printing instr'!A24</f>
        <v>$'000</v>
      </c>
      <c r="K67" s="1224"/>
    </row>
    <row r="68" spans="1:12" ht="8.1" customHeight="1" x14ac:dyDescent="0.25">
      <c r="A68" s="254"/>
      <c r="B68" s="254"/>
      <c r="C68" s="963"/>
      <c r="D68" s="963"/>
      <c r="E68" s="1165"/>
      <c r="F68" s="1165"/>
      <c r="G68" s="1201"/>
      <c r="H68" s="1201"/>
      <c r="I68" s="1201"/>
      <c r="J68" s="1201"/>
      <c r="K68" s="1224"/>
    </row>
    <row r="69" spans="1:12" ht="15" thickBot="1" x14ac:dyDescent="0.3">
      <c r="A69" s="254"/>
      <c r="B69" s="254"/>
      <c r="C69" s="963"/>
      <c r="D69" s="963"/>
      <c r="E69" s="956" t="s">
        <v>82</v>
      </c>
      <c r="F69" s="956"/>
      <c r="G69" s="1201"/>
      <c r="H69" s="1201"/>
      <c r="I69" s="1355">
        <f>J22+J48+J60</f>
        <v>116796</v>
      </c>
      <c r="J69" s="1355">
        <f>G22+G48+G60</f>
        <v>110049</v>
      </c>
      <c r="K69" s="1224"/>
      <c r="L69" s="150"/>
    </row>
    <row r="70" spans="1:12" ht="9.75" customHeight="1" x14ac:dyDescent="0.25">
      <c r="A70" s="254"/>
      <c r="B70" s="254"/>
      <c r="C70" s="963"/>
      <c r="D70" s="963"/>
      <c r="E70" s="956"/>
      <c r="F70" s="956"/>
      <c r="G70" s="1201"/>
      <c r="H70" s="1201"/>
      <c r="I70" s="985"/>
      <c r="J70" s="985"/>
      <c r="K70" s="1224"/>
      <c r="L70" s="150"/>
    </row>
    <row r="71" spans="1:12" x14ac:dyDescent="0.25">
      <c r="A71" s="254"/>
      <c r="B71" s="254"/>
      <c r="C71" s="963"/>
      <c r="D71" s="963"/>
      <c r="E71" s="956"/>
      <c r="F71" s="956"/>
      <c r="G71" s="1201"/>
      <c r="H71" s="1201"/>
      <c r="I71" s="958">
        <f>+'Merge Details_Printing instr'!A19</f>
        <v>2024</v>
      </c>
      <c r="J71" s="958">
        <f>+'Merge Details_Printing instr'!A20</f>
        <v>2023</v>
      </c>
      <c r="K71" s="1224"/>
      <c r="L71" s="150"/>
    </row>
    <row r="72" spans="1:12" x14ac:dyDescent="0.25">
      <c r="A72" s="254">
        <v>1054</v>
      </c>
      <c r="B72" s="254">
        <v>16</v>
      </c>
      <c r="C72" s="954" t="s">
        <v>286</v>
      </c>
      <c r="D72" s="956">
        <f>D5+0.1</f>
        <v>9.1999999999999993</v>
      </c>
      <c r="E72" s="1356" t="s">
        <v>332</v>
      </c>
      <c r="F72" s="1357"/>
      <c r="G72" s="1201"/>
      <c r="H72" s="1201"/>
      <c r="I72" s="958" t="str">
        <f>+'Merge Details_Printing instr'!A24</f>
        <v>$'000</v>
      </c>
      <c r="J72" s="958" t="str">
        <f>+'Merge Details_Printing instr'!A24</f>
        <v>$'000</v>
      </c>
      <c r="K72" s="1047"/>
      <c r="L72" s="307"/>
    </row>
    <row r="73" spans="1:12" s="246" customFormat="1" ht="16.5" customHeight="1" x14ac:dyDescent="0.25">
      <c r="A73" s="254"/>
      <c r="B73" s="254"/>
      <c r="C73" s="955"/>
      <c r="D73" s="963"/>
      <c r="E73" s="955" t="s">
        <v>1179</v>
      </c>
      <c r="F73" s="955"/>
      <c r="G73" s="955"/>
      <c r="H73" s="955"/>
      <c r="I73" s="981">
        <f>'Stat'' of Comprehensive Income'!$G$37</f>
        <v>4270</v>
      </c>
      <c r="J73" s="981">
        <f>'Stat'' of Comprehensive Income'!$H$37</f>
        <v>-9175</v>
      </c>
      <c r="K73" s="1047"/>
      <c r="L73" s="307"/>
    </row>
    <row r="74" spans="1:12" s="246" customFormat="1" ht="5.25" customHeight="1" x14ac:dyDescent="0.25">
      <c r="A74" s="254"/>
      <c r="B74" s="254"/>
      <c r="C74" s="955"/>
      <c r="D74" s="963"/>
      <c r="E74" s="1358"/>
      <c r="F74" s="1358"/>
      <c r="G74" s="955"/>
      <c r="H74" s="955"/>
      <c r="I74" s="981"/>
      <c r="J74" s="981"/>
      <c r="K74" s="1047"/>
      <c r="L74" s="307"/>
    </row>
    <row r="75" spans="1:12" s="246" customFormat="1" ht="16.5" customHeight="1" x14ac:dyDescent="0.25">
      <c r="A75" s="254"/>
      <c r="B75" s="254"/>
      <c r="C75" s="955"/>
      <c r="D75" s="963"/>
      <c r="E75" s="955" t="s">
        <v>563</v>
      </c>
      <c r="F75" s="955"/>
      <c r="G75" s="955"/>
      <c r="H75" s="955"/>
      <c r="I75" s="981">
        <f>-'Stat'' of Comprehensive Income'!$G$32-I76</f>
        <v>15187</v>
      </c>
      <c r="J75" s="981">
        <f>-'Stat'' of Comprehensive Income'!$H$32-J76</f>
        <v>14809</v>
      </c>
      <c r="K75" s="1047">
        <v>3.4</v>
      </c>
      <c r="L75" s="307"/>
    </row>
    <row r="76" spans="1:12" s="246" customFormat="1" ht="16.5" customHeight="1" x14ac:dyDescent="0.25">
      <c r="A76" s="254"/>
      <c r="B76" s="254"/>
      <c r="C76" s="955"/>
      <c r="D76" s="963"/>
      <c r="E76" s="955" t="s">
        <v>1500</v>
      </c>
      <c r="F76" s="955"/>
      <c r="G76" s="955"/>
      <c r="H76" s="955"/>
      <c r="I76" s="981">
        <f>'Notes 2 to 5'!K298</f>
        <v>4000</v>
      </c>
      <c r="J76" s="981">
        <f>'Notes 2 to 5'!M298</f>
        <v>4000</v>
      </c>
      <c r="K76" s="1047">
        <v>3.4</v>
      </c>
      <c r="L76" s="307"/>
    </row>
    <row r="77" spans="1:12" s="246" customFormat="1" x14ac:dyDescent="0.25">
      <c r="A77" s="254"/>
      <c r="B77" s="254"/>
      <c r="C77" s="955"/>
      <c r="D77" s="963"/>
      <c r="E77" s="955" t="s">
        <v>1404</v>
      </c>
      <c r="F77" s="955"/>
      <c r="G77" s="955"/>
      <c r="H77" s="955"/>
      <c r="I77" s="981">
        <f>-'Notes 2 to 5'!$K$209</f>
        <v>-479</v>
      </c>
      <c r="J77" s="981">
        <v>0</v>
      </c>
      <c r="K77" s="1047">
        <v>2.8</v>
      </c>
    </row>
    <row r="78" spans="1:12" s="246" customFormat="1" ht="16.5" customHeight="1" x14ac:dyDescent="0.25">
      <c r="A78" s="254"/>
      <c r="B78" s="254"/>
      <c r="C78" s="955"/>
      <c r="D78" s="963"/>
      <c r="E78" s="955" t="s">
        <v>593</v>
      </c>
      <c r="F78" s="955"/>
      <c r="G78" s="955"/>
      <c r="H78" s="955"/>
      <c r="I78" s="981">
        <v>0</v>
      </c>
      <c r="J78" s="981">
        <v>0</v>
      </c>
      <c r="K78" s="1047"/>
    </row>
    <row r="79" spans="1:12" s="246" customFormat="1" ht="16.5" customHeight="1" x14ac:dyDescent="0.25">
      <c r="A79" s="254"/>
      <c r="B79" s="254"/>
      <c r="C79" s="955"/>
      <c r="D79" s="963"/>
      <c r="E79" s="955" t="s">
        <v>138</v>
      </c>
      <c r="F79" s="955"/>
      <c r="G79" s="955"/>
      <c r="H79" s="955"/>
      <c r="I79" s="981">
        <f>-'Note 6 to 8'!$Q$9</f>
        <v>-1000</v>
      </c>
      <c r="J79" s="981">
        <f>-'Note 6 to 8'!$S$9</f>
        <v>0</v>
      </c>
      <c r="K79" s="1047">
        <v>6.2</v>
      </c>
    </row>
    <row r="80" spans="1:12" s="246" customFormat="1" ht="16.5" customHeight="1" x14ac:dyDescent="0.25">
      <c r="A80" s="254"/>
      <c r="B80" s="254"/>
      <c r="C80" s="955"/>
      <c r="D80" s="963"/>
      <c r="E80" s="955" t="s">
        <v>314</v>
      </c>
      <c r="F80" s="955"/>
      <c r="G80" s="955"/>
      <c r="H80" s="955"/>
      <c r="I80" s="981">
        <f>-'Stat'' of Comprehensive Income'!$G$21</f>
        <v>-449</v>
      </c>
      <c r="J80" s="981">
        <f>-'Stat'' of Comprehensive Income'!$H$21</f>
        <v>-359</v>
      </c>
      <c r="K80" s="1047">
        <v>2.5</v>
      </c>
    </row>
    <row r="81" spans="1:17" s="246" customFormat="1" ht="16.5" customHeight="1" x14ac:dyDescent="0.25">
      <c r="A81" s="254"/>
      <c r="B81" s="254"/>
      <c r="C81" s="955"/>
      <c r="D81" s="963"/>
      <c r="E81" s="1358" t="s">
        <v>275</v>
      </c>
      <c r="F81" s="955"/>
      <c r="G81" s="955"/>
      <c r="H81" s="955"/>
      <c r="I81" s="981"/>
      <c r="J81" s="981"/>
      <c r="K81" s="1047"/>
    </row>
    <row r="82" spans="1:17" s="246" customFormat="1" ht="16.5" customHeight="1" x14ac:dyDescent="0.25">
      <c r="A82" s="254"/>
      <c r="B82" s="254"/>
      <c r="C82" s="955"/>
      <c r="D82" s="963"/>
      <c r="E82" s="955" t="s">
        <v>306</v>
      </c>
      <c r="F82" s="955"/>
      <c r="G82" s="955"/>
      <c r="H82" s="955"/>
      <c r="I82" s="981">
        <f>-('Notes 2 to 5'!K440-'Notes 2 to 5'!M440)</f>
        <v>-2118</v>
      </c>
      <c r="J82" s="981">
        <v>325</v>
      </c>
      <c r="K82" s="1047">
        <v>4.2</v>
      </c>
      <c r="L82" s="307"/>
    </row>
    <row r="83" spans="1:17" s="246" customFormat="1" ht="16.5" customHeight="1" x14ac:dyDescent="0.25">
      <c r="A83" s="254"/>
      <c r="B83" s="254"/>
      <c r="C83" s="955"/>
      <c r="D83" s="963"/>
      <c r="E83" s="955" t="s">
        <v>305</v>
      </c>
      <c r="F83" s="955"/>
      <c r="G83" s="955"/>
      <c r="H83" s="955"/>
      <c r="I83" s="981">
        <f>-'Note 6 to 8'!$Q$105+'Note 6 to 8'!$S$105-'Note 6 to 8'!$Q$109+'Note 6 to 8'!$S$109</f>
        <v>0</v>
      </c>
      <c r="J83" s="981">
        <v>0</v>
      </c>
      <c r="K83" s="1047">
        <v>6.5</v>
      </c>
      <c r="L83" s="246" t="s">
        <v>1626</v>
      </c>
    </row>
    <row r="84" spans="1:17" s="246" customFormat="1" ht="16.5" customHeight="1" x14ac:dyDescent="0.25">
      <c r="A84" s="254"/>
      <c r="B84" s="254"/>
      <c r="C84" s="955"/>
      <c r="D84" s="963"/>
      <c r="E84" s="955" t="s">
        <v>307</v>
      </c>
      <c r="F84" s="955"/>
      <c r="G84" s="955"/>
      <c r="H84" s="955"/>
      <c r="I84" s="981">
        <f>-'Notes 2 to 5'!$K$488+'Notes 2 to 5'!$M$488</f>
        <v>0</v>
      </c>
      <c r="J84" s="981">
        <v>0</v>
      </c>
      <c r="K84" s="1047">
        <v>4.4000000000000004</v>
      </c>
    </row>
    <row r="85" spans="1:17" s="246" customFormat="1" ht="16.5" customHeight="1" thickBot="1" x14ac:dyDescent="0.4">
      <c r="A85" s="254"/>
      <c r="B85" s="254"/>
      <c r="C85" s="955"/>
      <c r="D85" s="963"/>
      <c r="E85" s="955" t="s">
        <v>631</v>
      </c>
      <c r="F85" s="955"/>
      <c r="G85" s="955"/>
      <c r="H85" s="955"/>
      <c r="I85" s="981">
        <f>'Note 6 to 8'!$Q$117-'Note 6 to 8'!$S$117</f>
        <v>1001</v>
      </c>
      <c r="J85" s="981">
        <f>105+250</f>
        <v>355</v>
      </c>
      <c r="K85" s="1047">
        <v>7.1</v>
      </c>
      <c r="N85" s="89"/>
    </row>
    <row r="86" spans="1:17" s="246" customFormat="1" ht="16.5" customHeight="1" x14ac:dyDescent="0.25">
      <c r="A86" s="254"/>
      <c r="B86" s="254"/>
      <c r="C86" s="955"/>
      <c r="D86" s="963"/>
      <c r="E86" s="955" t="s">
        <v>309</v>
      </c>
      <c r="F86" s="955"/>
      <c r="G86" s="955"/>
      <c r="H86" s="955"/>
      <c r="I86" s="981">
        <f>'Note 6 to 8'!$S$152-'Note 6 to 8'!$S$166</f>
        <v>-1</v>
      </c>
      <c r="J86" s="981">
        <v>-3</v>
      </c>
      <c r="K86" s="1047">
        <v>7.3</v>
      </c>
      <c r="L86" s="2268" t="s">
        <v>783</v>
      </c>
      <c r="M86" s="2269"/>
    </row>
    <row r="87" spans="1:17" s="246" customFormat="1" ht="16.5" customHeight="1" x14ac:dyDescent="0.25">
      <c r="A87" s="254"/>
      <c r="B87" s="254"/>
      <c r="C87" s="955"/>
      <c r="D87" s="963"/>
      <c r="E87" s="955" t="s">
        <v>308</v>
      </c>
      <c r="F87" s="955"/>
      <c r="G87" s="955"/>
      <c r="H87" s="955"/>
      <c r="I87" s="981">
        <f>'Note 6 to 8'!Q263-'Note 6 to 8'!S263</f>
        <v>0</v>
      </c>
      <c r="J87" s="981">
        <v>0</v>
      </c>
      <c r="K87" s="1047">
        <v>7.5</v>
      </c>
      <c r="L87" s="282">
        <f>I66</f>
        <v>2024</v>
      </c>
      <c r="M87" s="283">
        <f>J66</f>
        <v>2023</v>
      </c>
    </row>
    <row r="88" spans="1:17" s="246" customFormat="1" ht="16.5" customHeight="1" x14ac:dyDescent="0.25">
      <c r="A88" s="254"/>
      <c r="B88" s="254"/>
      <c r="C88" s="955"/>
      <c r="D88" s="963"/>
      <c r="E88" s="955" t="s">
        <v>36</v>
      </c>
      <c r="F88" s="955"/>
      <c r="G88" s="955"/>
      <c r="H88" s="955"/>
      <c r="I88" s="981">
        <f>382+228+772-1000</f>
        <v>382</v>
      </c>
      <c r="J88" s="981">
        <f>15+1000</f>
        <v>1015</v>
      </c>
      <c r="K88" s="955"/>
      <c r="L88" s="282" t="str">
        <f>I67</f>
        <v>$'000</v>
      </c>
      <c r="M88" s="283" t="str">
        <f>J67</f>
        <v>$'000</v>
      </c>
    </row>
    <row r="89" spans="1:17" s="246" customFormat="1" ht="16.5" customHeight="1" thickBot="1" x14ac:dyDescent="0.3">
      <c r="A89" s="254"/>
      <c r="B89" s="254"/>
      <c r="C89" s="955"/>
      <c r="D89" s="963"/>
      <c r="E89" s="957" t="s">
        <v>520</v>
      </c>
      <c r="F89" s="957"/>
      <c r="G89" s="955"/>
      <c r="H89" s="955"/>
      <c r="I89" s="1024">
        <f>SUM(I73:I88)</f>
        <v>20793</v>
      </c>
      <c r="J89" s="1024">
        <f>SUM(J73:J88)</f>
        <v>10967</v>
      </c>
      <c r="K89" s="955"/>
      <c r="L89" s="284">
        <f>I89-'Stat of Cash Flows'!F$27</f>
        <v>0</v>
      </c>
      <c r="M89" s="285">
        <f>J89-'Stat of Cash Flows'!G27</f>
        <v>0</v>
      </c>
    </row>
    <row r="90" spans="1:17" s="246" customFormat="1" ht="16.5" customHeight="1" x14ac:dyDescent="0.25">
      <c r="A90" s="254"/>
      <c r="B90" s="254"/>
      <c r="C90" s="955"/>
      <c r="D90" s="963"/>
      <c r="E90" s="957"/>
      <c r="F90" s="957"/>
      <c r="G90" s="955"/>
      <c r="H90" s="955"/>
      <c r="I90" s="1005"/>
      <c r="J90" s="1005"/>
      <c r="K90" s="955"/>
      <c r="L90" s="519"/>
      <c r="M90" s="519"/>
    </row>
    <row r="91" spans="1:17" s="246" customFormat="1" ht="16.5" customHeight="1" x14ac:dyDescent="0.25">
      <c r="A91" s="254"/>
      <c r="B91" s="254"/>
      <c r="C91" s="957" t="s">
        <v>286</v>
      </c>
      <c r="D91" s="956">
        <v>9.3000000000000007</v>
      </c>
      <c r="E91" s="2246" t="s">
        <v>1313</v>
      </c>
      <c r="F91" s="2246"/>
      <c r="G91" s="2246"/>
      <c r="H91" s="2246"/>
      <c r="I91" s="2246"/>
      <c r="J91" s="2246"/>
      <c r="K91" s="2246"/>
      <c r="L91" s="514"/>
      <c r="M91" s="514"/>
      <c r="N91" s="514"/>
      <c r="O91" s="113"/>
      <c r="P91" s="113"/>
      <c r="Q91" s="113"/>
    </row>
    <row r="92" spans="1:17" s="246" customFormat="1" ht="33.450000000000003" customHeight="1" x14ac:dyDescent="0.25">
      <c r="A92" s="254">
        <v>107</v>
      </c>
      <c r="B92" s="254" t="s">
        <v>1670</v>
      </c>
      <c r="C92" s="955"/>
      <c r="D92" s="963"/>
      <c r="E92" s="2245" t="s">
        <v>1295</v>
      </c>
      <c r="F92" s="2245"/>
      <c r="G92" s="2245"/>
      <c r="H92" s="2245"/>
      <c r="I92" s="2245"/>
      <c r="J92" s="2245"/>
      <c r="K92" s="1359"/>
      <c r="L92" s="520"/>
      <c r="M92" s="520"/>
      <c r="N92" s="520"/>
      <c r="O92" s="520"/>
      <c r="P92" s="520"/>
      <c r="Q92" s="520"/>
    </row>
    <row r="93" spans="1:17" s="246" customFormat="1" ht="70.5" customHeight="1" x14ac:dyDescent="0.25">
      <c r="A93" s="254"/>
      <c r="B93" s="254"/>
      <c r="C93" s="955"/>
      <c r="D93" s="963"/>
      <c r="E93" s="2242"/>
      <c r="F93" s="1360"/>
      <c r="G93" s="955"/>
      <c r="H93" s="1361" t="s">
        <v>26</v>
      </c>
      <c r="I93" s="1361" t="s">
        <v>1297</v>
      </c>
      <c r="J93" s="2018" t="s">
        <v>2051</v>
      </c>
      <c r="K93" s="1363"/>
      <c r="L93" s="14"/>
      <c r="N93" s="14"/>
      <c r="O93" s="14"/>
      <c r="P93" s="14"/>
      <c r="Q93" s="14"/>
    </row>
    <row r="94" spans="1:17" s="246" customFormat="1" ht="16.5" customHeight="1" x14ac:dyDescent="0.25">
      <c r="A94" s="254"/>
      <c r="B94" s="254"/>
      <c r="C94" s="955"/>
      <c r="D94" s="963"/>
      <c r="E94" s="2242"/>
      <c r="F94" s="1360"/>
      <c r="G94" s="1360"/>
      <c r="H94" s="1360" t="s">
        <v>1296</v>
      </c>
      <c r="I94" s="1360" t="s">
        <v>1296</v>
      </c>
      <c r="J94" s="1362" t="s">
        <v>1298</v>
      </c>
      <c r="K94" s="1363"/>
      <c r="L94" s="14"/>
      <c r="M94" s="14"/>
      <c r="N94" s="14"/>
      <c r="O94" s="14"/>
      <c r="P94" s="14"/>
      <c r="Q94" s="14"/>
    </row>
    <row r="95" spans="1:17" s="246" customFormat="1" x14ac:dyDescent="0.25">
      <c r="A95" s="254"/>
      <c r="B95" s="254"/>
      <c r="C95" s="1364"/>
      <c r="D95" s="963"/>
      <c r="E95" s="2246" t="str">
        <f>"Balance as at 30 June "&amp;'Merge Details_Printing instr'!A20</f>
        <v>Balance as at 30 June 2023</v>
      </c>
      <c r="F95" s="2246"/>
      <c r="G95" s="1360"/>
      <c r="H95" s="981">
        <f>H115</f>
        <v>6048</v>
      </c>
      <c r="I95" s="981">
        <f>I115</f>
        <v>37000</v>
      </c>
      <c r="J95" s="981"/>
      <c r="K95" s="1363"/>
      <c r="L95" s="14"/>
      <c r="M95" s="14"/>
      <c r="N95" s="14"/>
      <c r="O95" s="14"/>
      <c r="P95" s="14"/>
      <c r="Q95" s="14"/>
    </row>
    <row r="96" spans="1:17" s="246" customFormat="1" ht="16.5" customHeight="1" x14ac:dyDescent="0.25">
      <c r="A96" s="254"/>
      <c r="B96" s="254"/>
      <c r="C96" s="955"/>
      <c r="D96" s="963"/>
      <c r="E96" s="2245" t="s">
        <v>1299</v>
      </c>
      <c r="F96" s="2245"/>
      <c r="G96" s="1365"/>
      <c r="H96" s="981">
        <v>0</v>
      </c>
      <c r="I96" s="981">
        <v>0</v>
      </c>
      <c r="J96" s="981">
        <v>0</v>
      </c>
      <c r="K96" s="1363"/>
      <c r="L96" s="14"/>
      <c r="M96" s="14"/>
      <c r="N96" s="14"/>
      <c r="O96" s="14"/>
      <c r="P96" s="14"/>
      <c r="Q96" s="14"/>
    </row>
    <row r="97" spans="1:17" s="246" customFormat="1" ht="16.5" customHeight="1" x14ac:dyDescent="0.25">
      <c r="A97" s="254"/>
      <c r="B97" s="254"/>
      <c r="C97" s="955"/>
      <c r="D97" s="963"/>
      <c r="E97" s="2245" t="s">
        <v>1300</v>
      </c>
      <c r="F97" s="2245"/>
      <c r="G97" s="1365"/>
      <c r="H97" s="981">
        <v>0</v>
      </c>
      <c r="I97" s="981">
        <v>0</v>
      </c>
      <c r="J97" s="981">
        <v>0</v>
      </c>
      <c r="K97" s="1363"/>
      <c r="L97" s="14"/>
      <c r="M97" s="14"/>
      <c r="N97" s="14"/>
      <c r="O97" s="14"/>
      <c r="P97" s="14"/>
      <c r="Q97" s="14"/>
    </row>
    <row r="98" spans="1:17" s="246" customFormat="1" ht="16.5" customHeight="1" x14ac:dyDescent="0.25">
      <c r="A98" s="254"/>
      <c r="B98" s="254"/>
      <c r="C98" s="955"/>
      <c r="D98" s="963"/>
      <c r="E98" s="2245" t="s">
        <v>1301</v>
      </c>
      <c r="F98" s="2245"/>
      <c r="G98" s="1365"/>
      <c r="H98" s="981">
        <v>0</v>
      </c>
      <c r="I98" s="981">
        <v>0</v>
      </c>
      <c r="J98" s="981">
        <v>0</v>
      </c>
      <c r="K98" s="1363"/>
      <c r="L98" s="14"/>
      <c r="M98" s="14"/>
      <c r="N98" s="14"/>
      <c r="O98" s="14"/>
      <c r="P98" s="14"/>
      <c r="Q98" s="14"/>
    </row>
    <row r="99" spans="1:17" s="246" customFormat="1" ht="16.5" customHeight="1" x14ac:dyDescent="0.25">
      <c r="A99" s="254"/>
      <c r="B99" s="254"/>
      <c r="C99" s="955"/>
      <c r="D99" s="963"/>
      <c r="E99" s="2245" t="s">
        <v>1302</v>
      </c>
      <c r="F99" s="2245"/>
      <c r="G99" s="1365"/>
      <c r="H99" s="981"/>
      <c r="I99" s="981"/>
      <c r="J99" s="981"/>
      <c r="K99" s="1363"/>
      <c r="L99" s="14"/>
      <c r="M99" s="14"/>
      <c r="N99" s="14"/>
      <c r="O99" s="14"/>
      <c r="P99" s="14"/>
      <c r="Q99" s="14"/>
    </row>
    <row r="100" spans="1:17" s="246" customFormat="1" ht="16.5" customHeight="1" thickBot="1" x14ac:dyDescent="0.3">
      <c r="A100" s="254"/>
      <c r="B100" s="254"/>
      <c r="C100" s="955"/>
      <c r="D100" s="963"/>
      <c r="E100" s="2245" t="s">
        <v>1303</v>
      </c>
      <c r="F100" s="2245"/>
      <c r="G100" s="1365"/>
      <c r="H100" s="981">
        <v>0</v>
      </c>
      <c r="I100" s="981">
        <v>0</v>
      </c>
      <c r="J100" s="981">
        <v>0</v>
      </c>
      <c r="K100" s="1363"/>
      <c r="L100" s="14"/>
      <c r="M100" s="14"/>
      <c r="N100" s="14"/>
      <c r="O100" s="14"/>
      <c r="P100" s="14"/>
      <c r="Q100" s="14"/>
    </row>
    <row r="101" spans="1:17" s="246" customFormat="1" ht="16.5" customHeight="1" x14ac:dyDescent="0.25">
      <c r="A101" s="254"/>
      <c r="B101" s="254"/>
      <c r="C101" s="955"/>
      <c r="D101" s="963"/>
      <c r="E101" s="2245" t="s">
        <v>1304</v>
      </c>
      <c r="F101" s="2245"/>
      <c r="G101" s="1365"/>
      <c r="H101" s="981"/>
      <c r="I101" s="981"/>
      <c r="J101" s="981"/>
      <c r="K101" s="1363"/>
      <c r="L101" s="650" t="s">
        <v>1314</v>
      </c>
      <c r="M101" s="651" t="s">
        <v>1542</v>
      </c>
      <c r="N101" s="14"/>
      <c r="O101" s="14"/>
      <c r="P101" s="14"/>
      <c r="Q101" s="14"/>
    </row>
    <row r="102" spans="1:17" s="246" customFormat="1" ht="16.5" customHeight="1" x14ac:dyDescent="0.25">
      <c r="A102" s="254"/>
      <c r="B102" s="254"/>
      <c r="C102" s="955"/>
      <c r="D102" s="963"/>
      <c r="E102" s="2245" t="s">
        <v>1439</v>
      </c>
      <c r="F102" s="2245"/>
      <c r="G102" s="1365"/>
      <c r="H102" s="981">
        <f>'Stat of Cash Flows'!F44</f>
        <v>0</v>
      </c>
      <c r="I102" s="981">
        <f>'Stat of Cash Flows'!G44</f>
        <v>0</v>
      </c>
      <c r="J102" s="981">
        <v>0</v>
      </c>
      <c r="K102" s="1363"/>
      <c r="L102" s="282">
        <f>L87</f>
        <v>2024</v>
      </c>
      <c r="M102" s="652"/>
      <c r="N102" s="14"/>
      <c r="O102" s="14"/>
      <c r="P102" s="14"/>
      <c r="Q102" s="14"/>
    </row>
    <row r="103" spans="1:17" s="246" customFormat="1" ht="16.5" customHeight="1" x14ac:dyDescent="0.25">
      <c r="A103" s="254"/>
      <c r="B103" s="254"/>
      <c r="C103" s="1364"/>
      <c r="D103" s="963"/>
      <c r="E103" s="2245" t="s">
        <v>1440</v>
      </c>
      <c r="F103" s="2245"/>
      <c r="G103" s="1365"/>
      <c r="H103" s="981">
        <f>'Stat of Cash Flows'!F45</f>
        <v>-2690</v>
      </c>
      <c r="I103" s="981">
        <f>'Stat of Cash Flows'!F43</f>
        <v>-3550</v>
      </c>
      <c r="J103" s="981"/>
      <c r="K103" s="1363"/>
      <c r="L103" s="282" t="str">
        <f>L88</f>
        <v>$'000</v>
      </c>
      <c r="M103" s="652"/>
      <c r="N103" s="14"/>
      <c r="O103" s="14"/>
      <c r="P103" s="14"/>
      <c r="Q103" s="14"/>
    </row>
    <row r="104" spans="1:17" s="246" customFormat="1" ht="16.5" customHeight="1" thickBot="1" x14ac:dyDescent="0.3">
      <c r="A104" s="254"/>
      <c r="B104" s="254"/>
      <c r="C104" s="955"/>
      <c r="D104" s="963"/>
      <c r="E104" s="2246" t="str">
        <f>"Balance as at 30 June "&amp;'Merge Details_Printing instr'!A19</f>
        <v>Balance as at 30 June 2024</v>
      </c>
      <c r="F104" s="2246"/>
      <c r="G104" s="1360"/>
      <c r="H104" s="1024">
        <f>SUM(H95:H103)</f>
        <v>3358</v>
      </c>
      <c r="I104" s="1024">
        <f>SUM(I95:I103)</f>
        <v>33450</v>
      </c>
      <c r="J104" s="1024">
        <f>SUM(J95:J103)</f>
        <v>0</v>
      </c>
      <c r="K104" s="1363"/>
      <c r="L104" s="284">
        <f>H104-'Note 6 to 8'!Q293</f>
        <v>0</v>
      </c>
      <c r="M104" s="653">
        <f>I104-'Note 6 to 8'!Q206</f>
        <v>0</v>
      </c>
      <c r="N104" s="22"/>
      <c r="O104" s="14"/>
      <c r="P104" s="14"/>
      <c r="Q104" s="14"/>
    </row>
    <row r="105" spans="1:17" s="246" customFormat="1" ht="9" customHeight="1" x14ac:dyDescent="0.25">
      <c r="A105" s="254"/>
      <c r="B105" s="254"/>
      <c r="C105" s="955"/>
      <c r="D105" s="963"/>
      <c r="E105" s="1366"/>
      <c r="F105" s="1366"/>
      <c r="G105" s="1360"/>
      <c r="H105" s="1005"/>
      <c r="I105" s="1005"/>
      <c r="J105" s="1005"/>
      <c r="K105" s="1363"/>
      <c r="L105" s="519"/>
      <c r="M105" s="519"/>
      <c r="N105" s="14"/>
      <c r="O105" s="14"/>
      <c r="P105" s="14"/>
      <c r="Q105" s="14"/>
    </row>
    <row r="106" spans="1:17" s="246" customFormat="1" x14ac:dyDescent="0.25">
      <c r="A106" s="254"/>
      <c r="B106" s="254"/>
      <c r="C106" s="955"/>
      <c r="D106" s="963"/>
      <c r="E106" s="2246" t="str">
        <f>"Balance as at 1 July "&amp;'Merge Details_Printing instr'!A21</f>
        <v>Balance as at 1 July 2022</v>
      </c>
      <c r="F106" s="2246"/>
      <c r="G106" s="1367"/>
      <c r="H106" s="1368">
        <v>7209</v>
      </c>
      <c r="I106" s="1368">
        <v>40550</v>
      </c>
      <c r="J106" s="1368">
        <v>0</v>
      </c>
      <c r="K106" s="1363"/>
      <c r="L106" s="14"/>
      <c r="M106" s="14"/>
      <c r="N106" s="14"/>
      <c r="O106" s="14"/>
      <c r="P106" s="14"/>
      <c r="Q106" s="14"/>
    </row>
    <row r="107" spans="1:17" s="246" customFormat="1" ht="16.5" customHeight="1" x14ac:dyDescent="0.25">
      <c r="A107" s="254"/>
      <c r="B107" s="254"/>
      <c r="C107" s="955"/>
      <c r="D107" s="963"/>
      <c r="E107" s="2245" t="s">
        <v>1299</v>
      </c>
      <c r="F107" s="2245"/>
      <c r="G107" s="1369"/>
      <c r="H107" s="1368">
        <v>0</v>
      </c>
      <c r="I107" s="1368">
        <v>0</v>
      </c>
      <c r="J107" s="1368">
        <v>0</v>
      </c>
      <c r="K107" s="1363"/>
      <c r="L107" s="14"/>
      <c r="M107" s="14"/>
      <c r="N107" s="14"/>
      <c r="O107" s="14"/>
      <c r="P107" s="14"/>
      <c r="Q107" s="14"/>
    </row>
    <row r="108" spans="1:17" s="246" customFormat="1" ht="16.5" customHeight="1" x14ac:dyDescent="0.25">
      <c r="A108" s="254"/>
      <c r="B108" s="254"/>
      <c r="C108" s="955"/>
      <c r="D108" s="963"/>
      <c r="E108" s="2245" t="s">
        <v>1300</v>
      </c>
      <c r="F108" s="2245"/>
      <c r="G108" s="1369"/>
      <c r="H108" s="1368">
        <v>0</v>
      </c>
      <c r="I108" s="1368">
        <v>0</v>
      </c>
      <c r="J108" s="1368">
        <v>0</v>
      </c>
      <c r="K108" s="1363"/>
      <c r="L108" s="14"/>
      <c r="M108" s="14"/>
      <c r="N108" s="14"/>
      <c r="O108" s="14"/>
      <c r="P108" s="14"/>
      <c r="Q108" s="14"/>
    </row>
    <row r="109" spans="1:17" s="246" customFormat="1" ht="16.5" customHeight="1" x14ac:dyDescent="0.25">
      <c r="A109" s="254"/>
      <c r="B109" s="254"/>
      <c r="C109" s="955"/>
      <c r="D109" s="963"/>
      <c r="E109" s="2245" t="s">
        <v>1301</v>
      </c>
      <c r="F109" s="2245"/>
      <c r="G109" s="1369"/>
      <c r="H109" s="1368">
        <v>0</v>
      </c>
      <c r="I109" s="1368">
        <v>0</v>
      </c>
      <c r="J109" s="1368">
        <v>0</v>
      </c>
      <c r="K109" s="1363"/>
      <c r="L109" s="14"/>
      <c r="M109" s="14"/>
      <c r="N109" s="14"/>
      <c r="O109" s="14"/>
      <c r="P109" s="14"/>
      <c r="Q109" s="14"/>
    </row>
    <row r="110" spans="1:17" s="246" customFormat="1" ht="16.5" customHeight="1" x14ac:dyDescent="0.25">
      <c r="A110" s="254"/>
      <c r="B110" s="254"/>
      <c r="C110" s="955"/>
      <c r="D110" s="963"/>
      <c r="E110" s="2245" t="s">
        <v>1302</v>
      </c>
      <c r="F110" s="2245"/>
      <c r="G110" s="1369"/>
      <c r="H110" s="1368"/>
      <c r="I110" s="1368">
        <v>0</v>
      </c>
      <c r="J110" s="1368">
        <v>0</v>
      </c>
      <c r="K110" s="1363"/>
      <c r="L110" s="14"/>
      <c r="M110" s="14"/>
      <c r="N110" s="14"/>
      <c r="O110" s="14"/>
      <c r="P110" s="14"/>
      <c r="Q110" s="14"/>
    </row>
    <row r="111" spans="1:17" s="246" customFormat="1" ht="16.5" customHeight="1" thickBot="1" x14ac:dyDescent="0.3">
      <c r="A111" s="254"/>
      <c r="B111" s="254"/>
      <c r="C111" s="955"/>
      <c r="D111" s="963"/>
      <c r="E111" s="2245" t="s">
        <v>1303</v>
      </c>
      <c r="F111" s="2245"/>
      <c r="G111" s="1369"/>
      <c r="H111" s="1368">
        <v>0</v>
      </c>
      <c r="I111" s="1368">
        <v>0</v>
      </c>
      <c r="J111" s="1368">
        <v>0</v>
      </c>
      <c r="K111" s="1363"/>
      <c r="L111" s="14"/>
      <c r="M111" s="14"/>
      <c r="N111" s="14"/>
      <c r="O111" s="14"/>
      <c r="P111" s="14"/>
      <c r="Q111" s="14"/>
    </row>
    <row r="112" spans="1:17" s="246" customFormat="1" ht="16.5" customHeight="1" x14ac:dyDescent="0.25">
      <c r="A112" s="254"/>
      <c r="B112" s="254"/>
      <c r="C112" s="955"/>
      <c r="D112" s="963"/>
      <c r="E112" s="2245" t="s">
        <v>1304</v>
      </c>
      <c r="F112" s="2245"/>
      <c r="G112" s="1369"/>
      <c r="H112" s="1368"/>
      <c r="I112" s="1368">
        <v>0</v>
      </c>
      <c r="J112" s="1368">
        <v>0</v>
      </c>
      <c r="K112" s="1363"/>
      <c r="L112" s="718" t="s">
        <v>1314</v>
      </c>
      <c r="M112" s="651" t="s">
        <v>1542</v>
      </c>
      <c r="N112" s="14"/>
      <c r="O112" s="14"/>
      <c r="P112" s="14"/>
      <c r="Q112" s="14"/>
    </row>
    <row r="113" spans="1:17" s="246" customFormat="1" ht="16.5" customHeight="1" x14ac:dyDescent="0.25">
      <c r="A113" s="254"/>
      <c r="B113" s="254"/>
      <c r="C113" s="955"/>
      <c r="D113" s="963"/>
      <c r="E113" s="2245" t="s">
        <v>1439</v>
      </c>
      <c r="F113" s="2245"/>
      <c r="G113" s="1369"/>
      <c r="H113" s="1368">
        <f>'Stat of Cash Flows'!F54</f>
        <v>0</v>
      </c>
      <c r="I113" s="1368">
        <v>0</v>
      </c>
      <c r="J113" s="1368">
        <v>0</v>
      </c>
      <c r="K113" s="1363"/>
      <c r="L113" s="282">
        <f>M87</f>
        <v>2023</v>
      </c>
      <c r="M113" s="652"/>
      <c r="N113" s="14"/>
      <c r="O113" s="14"/>
      <c r="P113" s="14"/>
      <c r="Q113" s="14"/>
    </row>
    <row r="114" spans="1:17" s="246" customFormat="1" ht="16.5" customHeight="1" x14ac:dyDescent="0.25">
      <c r="A114" s="254"/>
      <c r="B114" s="254"/>
      <c r="C114" s="1364"/>
      <c r="D114" s="963"/>
      <c r="E114" s="2245" t="s">
        <v>1440</v>
      </c>
      <c r="F114" s="2245"/>
      <c r="G114" s="1369"/>
      <c r="H114" s="1368">
        <f>'Stat of Cash Flows'!G45</f>
        <v>-1161</v>
      </c>
      <c r="I114" s="1368">
        <f>'Stat of Cash Flows'!G43</f>
        <v>-3550</v>
      </c>
      <c r="J114" s="1368">
        <v>0</v>
      </c>
      <c r="K114" s="1363"/>
      <c r="L114" s="282" t="str">
        <f>M88</f>
        <v>$'000</v>
      </c>
      <c r="M114" s="652"/>
      <c r="N114" s="14"/>
      <c r="O114" s="14"/>
      <c r="P114" s="14"/>
      <c r="Q114" s="14"/>
    </row>
    <row r="115" spans="1:17" s="246" customFormat="1" ht="16.5" customHeight="1" thickBot="1" x14ac:dyDescent="0.3">
      <c r="A115" s="254"/>
      <c r="B115" s="254"/>
      <c r="C115" s="955"/>
      <c r="D115" s="963"/>
      <c r="E115" s="2246" t="str">
        <f>"Balance as at 30 June "&amp;'Merge Details_Printing instr'!A20</f>
        <v>Balance as at 30 June 2023</v>
      </c>
      <c r="F115" s="2246"/>
      <c r="G115" s="1367"/>
      <c r="H115" s="1370">
        <f>SUM(H106:H114)</f>
        <v>6048</v>
      </c>
      <c r="I115" s="1024">
        <f>SUM(I106:I114)</f>
        <v>37000</v>
      </c>
      <c r="J115" s="1024">
        <f>SUM(J101:J114)</f>
        <v>0</v>
      </c>
      <c r="K115" s="1363"/>
      <c r="L115" s="588">
        <f>H115-H106-H114</f>
        <v>0</v>
      </c>
      <c r="M115" s="653">
        <f>I115-'Note 6 to 8'!S206</f>
        <v>0</v>
      </c>
      <c r="N115" s="589" t="s">
        <v>1732</v>
      </c>
      <c r="P115" s="14"/>
      <c r="Q115" s="14"/>
    </row>
    <row r="116" spans="1:17" s="246" customFormat="1" ht="12" customHeight="1" x14ac:dyDescent="0.25">
      <c r="A116" s="254"/>
      <c r="B116" s="254"/>
      <c r="C116" s="955"/>
      <c r="D116" s="955"/>
      <c r="E116" s="1366"/>
      <c r="F116" s="1366"/>
      <c r="G116" s="1367"/>
      <c r="H116" s="1371"/>
      <c r="I116" s="1005"/>
      <c r="J116" s="1005"/>
      <c r="K116" s="1363"/>
      <c r="L116" s="583"/>
      <c r="M116" s="519"/>
      <c r="N116" s="14"/>
      <c r="O116" s="589"/>
      <c r="P116" s="14"/>
      <c r="Q116" s="14"/>
    </row>
    <row r="117" spans="1:17" s="246" customFormat="1" ht="16.5" customHeight="1" x14ac:dyDescent="0.25">
      <c r="A117" s="254"/>
      <c r="B117" s="254"/>
      <c r="C117" s="955"/>
      <c r="D117" s="955"/>
      <c r="E117" s="1366"/>
      <c r="F117" s="1366"/>
      <c r="G117" s="1367"/>
      <c r="H117" s="1371"/>
      <c r="I117" s="958">
        <f>+'Merge Details_Printing instr'!A19</f>
        <v>2024</v>
      </c>
      <c r="J117" s="958">
        <f>+'Merge Details_Printing instr'!A20</f>
        <v>2023</v>
      </c>
      <c r="K117" s="1363"/>
      <c r="L117" s="583"/>
      <c r="M117" s="519"/>
      <c r="N117" s="14"/>
      <c r="O117" s="589"/>
      <c r="P117" s="14"/>
      <c r="Q117" s="14"/>
    </row>
    <row r="118" spans="1:17" s="246" customFormat="1" x14ac:dyDescent="0.25">
      <c r="A118" s="254"/>
      <c r="B118" s="254"/>
      <c r="C118" s="955"/>
      <c r="D118" s="963"/>
      <c r="E118" s="957"/>
      <c r="F118" s="957"/>
      <c r="G118" s="955"/>
      <c r="H118" s="958"/>
      <c r="I118" s="958" t="str">
        <f>+'Merge Details_Printing instr'!A24</f>
        <v>$'000</v>
      </c>
      <c r="J118" s="958" t="str">
        <f>+'Merge Details_Printing instr'!A24</f>
        <v>$'000</v>
      </c>
      <c r="K118" s="955"/>
      <c r="L118" s="519"/>
      <c r="M118" s="519"/>
    </row>
    <row r="119" spans="1:17" s="246" customFormat="1" ht="16.5" customHeight="1" x14ac:dyDescent="0.25">
      <c r="A119" s="254">
        <v>107</v>
      </c>
      <c r="B119" s="254">
        <v>45</v>
      </c>
      <c r="C119" s="954" t="s">
        <v>286</v>
      </c>
      <c r="D119" s="956">
        <f>D91+0.1</f>
        <v>9.4</v>
      </c>
      <c r="E119" s="957" t="s">
        <v>318</v>
      </c>
      <c r="F119" s="957"/>
      <c r="G119" s="955"/>
      <c r="H119" s="957"/>
      <c r="I119" s="983"/>
      <c r="J119" s="983"/>
      <c r="K119" s="955"/>
    </row>
    <row r="120" spans="1:17" s="246" customFormat="1" ht="16.5" customHeight="1" x14ac:dyDescent="0.25">
      <c r="A120" s="158"/>
      <c r="B120" s="254"/>
      <c r="C120" s="963"/>
      <c r="D120" s="963"/>
      <c r="E120" s="955" t="str">
        <f>"Cash and cash equivalents (see note "&amp;'Notes 2 to 5'!E390&amp;")"</f>
        <v>Cash and cash equivalents (see note 4.1)</v>
      </c>
      <c r="F120" s="955"/>
      <c r="G120" s="955"/>
      <c r="H120" s="955"/>
      <c r="I120" s="983">
        <f>+'Notes 2 to 5'!$K$395</f>
        <v>13461</v>
      </c>
      <c r="J120" s="983">
        <f>+'Notes 2 to 5'!$M$395</f>
        <v>14783</v>
      </c>
      <c r="K120" s="955"/>
    </row>
    <row r="121" spans="1:17" s="246" customFormat="1" ht="16.5" customHeight="1" x14ac:dyDescent="0.25">
      <c r="A121" s="254"/>
      <c r="B121" s="254"/>
      <c r="C121" s="963"/>
      <c r="D121" s="963"/>
      <c r="E121" s="955" t="s">
        <v>276</v>
      </c>
      <c r="F121" s="955"/>
      <c r="G121" s="955"/>
      <c r="H121" s="955"/>
      <c r="I121" s="983">
        <v>0</v>
      </c>
      <c r="J121" s="983">
        <v>0</v>
      </c>
      <c r="K121" s="955"/>
    </row>
    <row r="122" spans="1:17" s="246" customFormat="1" x14ac:dyDescent="0.25">
      <c r="A122" s="254"/>
      <c r="B122" s="254"/>
      <c r="C122" s="963"/>
      <c r="D122" s="963"/>
      <c r="E122" s="957" t="s">
        <v>408</v>
      </c>
      <c r="F122" s="957"/>
      <c r="G122" s="955"/>
      <c r="H122" s="955"/>
      <c r="I122" s="1024">
        <f>+I120+I121</f>
        <v>13461</v>
      </c>
      <c r="J122" s="1024">
        <f>+J120+J121</f>
        <v>14783</v>
      </c>
      <c r="K122" s="955"/>
    </row>
    <row r="123" spans="1:17" ht="12" customHeight="1" x14ac:dyDescent="0.25">
      <c r="A123" s="254"/>
      <c r="B123" s="254"/>
      <c r="C123" s="963"/>
      <c r="D123" s="963"/>
      <c r="E123" s="963"/>
      <c r="F123" s="963"/>
      <c r="G123" s="1201"/>
      <c r="H123" s="1201"/>
      <c r="I123" s="1224"/>
      <c r="J123" s="1224"/>
      <c r="K123" s="1372"/>
    </row>
    <row r="124" spans="1:17" s="246" customFormat="1" ht="16.5" customHeight="1" x14ac:dyDescent="0.25">
      <c r="A124" s="254">
        <v>107</v>
      </c>
      <c r="B124" s="254" t="s">
        <v>234</v>
      </c>
      <c r="C124" s="954" t="s">
        <v>286</v>
      </c>
      <c r="D124" s="956">
        <f>D119+0.1</f>
        <v>9.5</v>
      </c>
      <c r="E124" s="957" t="s">
        <v>99</v>
      </c>
      <c r="F124" s="957"/>
      <c r="G124" s="955"/>
      <c r="H124" s="957"/>
      <c r="I124" s="983"/>
      <c r="J124" s="983"/>
      <c r="K124" s="955"/>
    </row>
    <row r="125" spans="1:17" s="246" customFormat="1" ht="16.5" customHeight="1" x14ac:dyDescent="0.25">
      <c r="A125" s="254"/>
      <c r="B125" s="254"/>
      <c r="C125" s="955"/>
      <c r="D125" s="963"/>
      <c r="E125" s="955" t="s">
        <v>35</v>
      </c>
      <c r="F125" s="955"/>
      <c r="G125" s="955"/>
      <c r="H125" s="955"/>
      <c r="I125" s="983">
        <v>5000</v>
      </c>
      <c r="J125" s="983">
        <v>5000</v>
      </c>
      <c r="K125" s="955"/>
    </row>
    <row r="126" spans="1:17" s="246" customFormat="1" ht="16.5" customHeight="1" x14ac:dyDescent="0.25">
      <c r="A126" s="254"/>
      <c r="B126" s="254"/>
      <c r="C126" s="955"/>
      <c r="D126" s="963"/>
      <c r="E126" s="955" t="s">
        <v>277</v>
      </c>
      <c r="F126" s="955"/>
      <c r="G126" s="955"/>
      <c r="H126" s="955"/>
      <c r="I126" s="981">
        <v>0</v>
      </c>
      <c r="J126" s="981">
        <v>0</v>
      </c>
      <c r="K126" s="955"/>
    </row>
    <row r="127" spans="1:17" s="246" customFormat="1" ht="16.5" customHeight="1" x14ac:dyDescent="0.25">
      <c r="A127" s="254"/>
      <c r="B127" s="254"/>
      <c r="C127" s="955"/>
      <c r="D127" s="963"/>
      <c r="E127" s="957" t="s">
        <v>278</v>
      </c>
      <c r="F127" s="957"/>
      <c r="G127" s="955"/>
      <c r="H127" s="955"/>
      <c r="I127" s="1024">
        <f>+I125+I126</f>
        <v>5000</v>
      </c>
      <c r="J127" s="1024">
        <f>+J125+J126</f>
        <v>5000</v>
      </c>
      <c r="K127" s="955"/>
    </row>
    <row r="128" spans="1:17" s="246" customFormat="1" ht="12" customHeight="1" x14ac:dyDescent="0.25">
      <c r="A128" s="254"/>
      <c r="B128" s="254"/>
      <c r="C128" s="955"/>
      <c r="D128" s="963"/>
      <c r="E128" s="957"/>
      <c r="F128" s="957"/>
      <c r="G128" s="955"/>
      <c r="H128" s="955"/>
      <c r="I128" s="1005"/>
      <c r="J128" s="1005"/>
      <c r="K128" s="955"/>
    </row>
    <row r="129" spans="1:13" s="246" customFormat="1" ht="16.5" customHeight="1" x14ac:dyDescent="0.25">
      <c r="A129" s="254">
        <v>107</v>
      </c>
      <c r="B129" s="254">
        <v>43</v>
      </c>
      <c r="C129" s="954" t="s">
        <v>286</v>
      </c>
      <c r="D129" s="956">
        <f>D124+0.1</f>
        <v>9.6</v>
      </c>
      <c r="E129" s="957" t="s">
        <v>100</v>
      </c>
      <c r="F129" s="957"/>
      <c r="G129" s="955"/>
      <c r="H129" s="957"/>
      <c r="I129" s="982"/>
      <c r="J129" s="982"/>
      <c r="K129" s="955"/>
    </row>
    <row r="130" spans="1:13" s="246" customFormat="1" x14ac:dyDescent="0.25">
      <c r="A130" s="254"/>
      <c r="B130" s="254"/>
      <c r="C130" s="955"/>
      <c r="D130" s="963"/>
      <c r="E130" s="1373" t="s">
        <v>59</v>
      </c>
      <c r="F130" s="1373"/>
      <c r="G130" s="955"/>
      <c r="H130" s="955"/>
      <c r="I130" s="982">
        <v>0</v>
      </c>
      <c r="J130" s="982">
        <v>0</v>
      </c>
      <c r="K130" s="955"/>
    </row>
    <row r="131" spans="1:13" s="246" customFormat="1" ht="16.5" customHeight="1" x14ac:dyDescent="0.25">
      <c r="A131" s="254"/>
      <c r="B131" s="254"/>
      <c r="C131" s="955"/>
      <c r="D131" s="963"/>
      <c r="E131" s="957" t="s">
        <v>83</v>
      </c>
      <c r="F131" s="957"/>
      <c r="G131" s="955"/>
      <c r="H131" s="955"/>
      <c r="I131" s="1024">
        <f>+I130</f>
        <v>0</v>
      </c>
      <c r="J131" s="1024">
        <f>+J130</f>
        <v>0</v>
      </c>
      <c r="K131" s="955"/>
    </row>
    <row r="132" spans="1:13" s="246" customFormat="1" ht="6" customHeight="1" x14ac:dyDescent="0.25">
      <c r="A132" s="254"/>
      <c r="B132" s="254"/>
      <c r="C132" s="955"/>
      <c r="D132" s="963"/>
      <c r="E132" s="957"/>
      <c r="F132" s="957"/>
      <c r="G132" s="955"/>
      <c r="H132" s="955"/>
      <c r="I132" s="1005"/>
      <c r="J132" s="1005"/>
      <c r="K132" s="955"/>
      <c r="L132" s="2247"/>
      <c r="M132" s="2247"/>
    </row>
    <row r="133" spans="1:13" s="246" customFormat="1" ht="16.5" customHeight="1" x14ac:dyDescent="0.25">
      <c r="A133" s="256">
        <v>119</v>
      </c>
      <c r="B133" s="256">
        <v>148</v>
      </c>
      <c r="C133" s="1267" t="s">
        <v>286</v>
      </c>
      <c r="D133" s="1125">
        <f>D129+0.1</f>
        <v>9.6999999999999993</v>
      </c>
      <c r="E133" s="1374" t="s">
        <v>587</v>
      </c>
      <c r="F133" s="955"/>
      <c r="G133" s="955"/>
      <c r="H133" s="955"/>
      <c r="I133" s="955"/>
      <c r="J133" s="1001"/>
      <c r="K133" s="1001"/>
      <c r="L133" s="308" t="s">
        <v>2030</v>
      </c>
    </row>
    <row r="134" spans="1:13" s="246" customFormat="1" ht="72.75" customHeight="1" x14ac:dyDescent="0.25">
      <c r="A134" s="256"/>
      <c r="B134" s="256"/>
      <c r="C134" s="955"/>
      <c r="D134" s="1375"/>
      <c r="E134" s="2256" t="s">
        <v>2093</v>
      </c>
      <c r="F134" s="2256"/>
      <c r="G134" s="2256"/>
      <c r="H134" s="2256"/>
      <c r="I134" s="2256"/>
      <c r="J134" s="2256"/>
      <c r="K134" s="1376"/>
      <c r="L134" s="2250"/>
      <c r="M134" s="2250"/>
    </row>
    <row r="135" spans="1:13" s="246" customFormat="1" ht="44.25" customHeight="1" x14ac:dyDescent="0.25">
      <c r="A135" s="256"/>
      <c r="B135" s="256"/>
      <c r="C135" s="1036"/>
      <c r="D135" s="2053"/>
      <c r="E135" s="2256" t="s">
        <v>2094</v>
      </c>
      <c r="F135" s="2256"/>
      <c r="G135" s="2256"/>
      <c r="H135" s="2256"/>
      <c r="I135" s="2256"/>
      <c r="J135" s="2256"/>
      <c r="K135" s="955"/>
      <c r="L135" s="2252" t="s">
        <v>1608</v>
      </c>
      <c r="M135" s="2252"/>
    </row>
    <row r="136" spans="1:13" s="246" customFormat="1" ht="69" customHeight="1" x14ac:dyDescent="0.25">
      <c r="A136" s="256"/>
      <c r="B136" s="256"/>
      <c r="C136" s="955"/>
      <c r="D136" s="1375"/>
      <c r="E136" s="2260" t="s">
        <v>2081</v>
      </c>
      <c r="F136" s="2260"/>
      <c r="G136" s="2260"/>
      <c r="H136" s="2260"/>
      <c r="I136" s="2260"/>
      <c r="J136" s="2260"/>
      <c r="K136" s="1377"/>
      <c r="L136" s="2252"/>
      <c r="M136" s="2252"/>
    </row>
    <row r="137" spans="1:13" s="246" customFormat="1" x14ac:dyDescent="0.25">
      <c r="A137" s="256"/>
      <c r="B137" s="256"/>
      <c r="C137" s="955"/>
      <c r="D137" s="1375"/>
      <c r="E137" s="1378" t="s">
        <v>1121</v>
      </c>
      <c r="F137" s="1378"/>
      <c r="G137" s="1377"/>
      <c r="H137" s="1377"/>
      <c r="I137" s="1377"/>
      <c r="J137" s="1001"/>
      <c r="K137" s="1001"/>
    </row>
    <row r="138" spans="1:13" s="246" customFormat="1" x14ac:dyDescent="0.25">
      <c r="A138" s="256"/>
      <c r="B138" s="256"/>
      <c r="C138" s="955"/>
      <c r="D138" s="1375"/>
      <c r="E138" s="1379" t="s">
        <v>1123</v>
      </c>
      <c r="F138" s="1321" t="s">
        <v>2082</v>
      </c>
      <c r="G138" s="955"/>
      <c r="H138" s="1377"/>
      <c r="I138" s="1377"/>
      <c r="J138" s="1001"/>
      <c r="K138" s="1001"/>
    </row>
    <row r="139" spans="1:13" s="246" customFormat="1" x14ac:dyDescent="0.25">
      <c r="A139" s="256"/>
      <c r="B139" s="256"/>
      <c r="C139" s="955"/>
      <c r="D139" s="1375"/>
      <c r="E139" s="1379" t="s">
        <v>1123</v>
      </c>
      <c r="F139" s="1321" t="s">
        <v>2083</v>
      </c>
      <c r="G139" s="955"/>
      <c r="H139" s="1377"/>
      <c r="I139" s="1377"/>
      <c r="J139" s="1001"/>
      <c r="K139" s="1001"/>
    </row>
    <row r="140" spans="1:13" s="246" customFormat="1" x14ac:dyDescent="0.25">
      <c r="A140" s="256"/>
      <c r="B140" s="256"/>
      <c r="C140" s="955"/>
      <c r="D140" s="1375"/>
      <c r="E140" s="1379" t="s">
        <v>1123</v>
      </c>
      <c r="F140" s="1378" t="s">
        <v>1122</v>
      </c>
      <c r="G140" s="955"/>
      <c r="H140" s="1377"/>
      <c r="I140" s="1377"/>
      <c r="J140" s="1001"/>
      <c r="K140" s="1001"/>
    </row>
    <row r="141" spans="1:13" s="246" customFormat="1" x14ac:dyDescent="0.25">
      <c r="A141" s="256"/>
      <c r="B141" s="256"/>
      <c r="C141" s="955"/>
      <c r="D141" s="1375"/>
      <c r="E141" s="1378" t="s">
        <v>1120</v>
      </c>
      <c r="F141" s="1378"/>
      <c r="G141" s="1377"/>
      <c r="H141" s="1377"/>
      <c r="I141" s="1377"/>
      <c r="J141" s="1001"/>
      <c r="K141" s="1001"/>
    </row>
    <row r="142" spans="1:13" s="246" customFormat="1" ht="28.5" customHeight="1" x14ac:dyDescent="0.25">
      <c r="A142" s="256"/>
      <c r="B142" s="256"/>
      <c r="C142" s="955"/>
      <c r="D142" s="1375"/>
      <c r="E142" s="1379" t="s">
        <v>1123</v>
      </c>
      <c r="F142" s="2257" t="s">
        <v>2084</v>
      </c>
      <c r="G142" s="2257"/>
      <c r="H142" s="2257"/>
      <c r="I142" s="2257"/>
      <c r="J142" s="2257"/>
      <c r="K142" s="955"/>
    </row>
    <row r="143" spans="1:13" s="246" customFormat="1" ht="30" customHeight="1" x14ac:dyDescent="0.25">
      <c r="A143" s="256"/>
      <c r="B143" s="256"/>
      <c r="C143" s="955"/>
      <c r="D143" s="1375"/>
      <c r="E143" s="1379" t="s">
        <v>1123</v>
      </c>
      <c r="F143" s="2257" t="s">
        <v>2085</v>
      </c>
      <c r="G143" s="2257"/>
      <c r="H143" s="2257"/>
      <c r="I143" s="2257"/>
      <c r="J143" s="2257"/>
      <c r="K143" s="955"/>
    </row>
    <row r="144" spans="1:13" s="246" customFormat="1" ht="45" customHeight="1" x14ac:dyDescent="0.25">
      <c r="A144" s="256"/>
      <c r="B144" s="256"/>
      <c r="C144" s="955"/>
      <c r="D144" s="1375"/>
      <c r="E144" s="1379"/>
      <c r="F144" s="2257" t="s">
        <v>2105</v>
      </c>
      <c r="G144" s="2257"/>
      <c r="H144" s="2257"/>
      <c r="I144" s="2257"/>
      <c r="J144" s="2257"/>
      <c r="K144" s="955"/>
    </row>
    <row r="145" spans="1:14" s="246" customFormat="1" ht="72" customHeight="1" x14ac:dyDescent="0.25">
      <c r="A145" s="256"/>
      <c r="B145" s="256"/>
      <c r="C145" s="955"/>
      <c r="D145" s="1375"/>
      <c r="E145" s="2260" t="s">
        <v>2095</v>
      </c>
      <c r="F145" s="2260"/>
      <c r="G145" s="2260"/>
      <c r="H145" s="2260"/>
      <c r="I145" s="2260"/>
      <c r="J145" s="2260"/>
      <c r="K145" s="1001"/>
      <c r="L145" s="2250"/>
      <c r="M145" s="2250"/>
    </row>
    <row r="146" spans="1:14" s="246" customFormat="1" ht="42.75" customHeight="1" x14ac:dyDescent="0.25">
      <c r="A146" s="256"/>
      <c r="B146" s="256"/>
      <c r="C146" s="955"/>
      <c r="D146" s="1375"/>
      <c r="E146" s="2256" t="s">
        <v>2086</v>
      </c>
      <c r="F146" s="2256"/>
      <c r="G146" s="2256"/>
      <c r="H146" s="2256"/>
      <c r="I146" s="2256"/>
      <c r="J146" s="2256"/>
      <c r="K146" s="1377"/>
      <c r="L146" s="1927"/>
      <c r="M146" s="1927"/>
    </row>
    <row r="147" spans="1:14" s="246" customFormat="1" ht="30" customHeight="1" x14ac:dyDescent="0.25">
      <c r="A147" s="256"/>
      <c r="B147" s="256"/>
      <c r="C147" s="955"/>
      <c r="D147" s="1375"/>
      <c r="E147" s="2256" t="s">
        <v>2096</v>
      </c>
      <c r="F147" s="2256"/>
      <c r="G147" s="2256"/>
      <c r="H147" s="2256"/>
      <c r="I147" s="2256"/>
      <c r="J147" s="2256"/>
      <c r="K147" s="1377"/>
    </row>
    <row r="148" spans="1:14" s="246" customFormat="1" ht="31.5" customHeight="1" x14ac:dyDescent="0.25">
      <c r="A148" s="256"/>
      <c r="B148" s="256"/>
      <c r="C148" s="955"/>
      <c r="D148" s="1375"/>
      <c r="E148" s="2255" t="s">
        <v>1877</v>
      </c>
      <c r="F148" s="2255"/>
      <c r="G148" s="2255"/>
      <c r="H148" s="2255"/>
      <c r="I148" s="2255"/>
      <c r="J148" s="2255"/>
      <c r="K148" s="1377"/>
    </row>
    <row r="149" spans="1:14" s="246" customFormat="1" ht="16.5" customHeight="1" x14ac:dyDescent="0.25">
      <c r="A149" s="254"/>
      <c r="B149" s="254"/>
      <c r="C149" s="955"/>
      <c r="D149" s="1375"/>
      <c r="E149" s="1378" t="s">
        <v>1878</v>
      </c>
      <c r="F149" s="1377"/>
      <c r="G149" s="1377"/>
      <c r="H149" s="1377"/>
      <c r="I149" s="1377"/>
      <c r="J149" s="1001"/>
      <c r="K149" s="955"/>
    </row>
    <row r="150" spans="1:14" s="246" customFormat="1" ht="46.5" customHeight="1" x14ac:dyDescent="0.25">
      <c r="A150" s="254"/>
      <c r="B150" s="254"/>
      <c r="C150" s="955"/>
      <c r="D150" s="1000"/>
      <c r="E150" s="1379" t="s">
        <v>1123</v>
      </c>
      <c r="F150" s="2257" t="s">
        <v>2087</v>
      </c>
      <c r="G150" s="2257"/>
      <c r="H150" s="2257"/>
      <c r="I150" s="2257"/>
      <c r="J150" s="2257"/>
      <c r="K150" s="955"/>
    </row>
    <row r="151" spans="1:14" s="246" customFormat="1" ht="60" customHeight="1" x14ac:dyDescent="0.25">
      <c r="A151" s="254"/>
      <c r="B151" s="254"/>
      <c r="C151" s="955"/>
      <c r="D151" s="1000"/>
      <c r="E151" s="1001"/>
      <c r="F151" s="2256" t="s">
        <v>2097</v>
      </c>
      <c r="G151" s="2256"/>
      <c r="H151" s="2256"/>
      <c r="I151" s="2256"/>
      <c r="J151" s="2256"/>
      <c r="K151" s="955"/>
    </row>
    <row r="152" spans="1:14" s="246" customFormat="1" ht="87" customHeight="1" x14ac:dyDescent="0.25">
      <c r="A152" s="254"/>
      <c r="B152" s="254"/>
      <c r="C152" s="955"/>
      <c r="D152" s="1000"/>
      <c r="E152" s="1379" t="s">
        <v>1123</v>
      </c>
      <c r="F152" s="2258" t="s">
        <v>2088</v>
      </c>
      <c r="G152" s="2258"/>
      <c r="H152" s="2258"/>
      <c r="I152" s="2258"/>
      <c r="J152" s="2258"/>
      <c r="K152" s="955"/>
      <c r="L152" s="1926"/>
    </row>
    <row r="153" spans="1:14" s="246" customFormat="1" x14ac:dyDescent="0.25">
      <c r="A153" s="254"/>
      <c r="B153" s="254"/>
      <c r="C153" s="1380" t="s">
        <v>286</v>
      </c>
      <c r="D153" s="1381">
        <f>D133</f>
        <v>9.6999999999999993</v>
      </c>
      <c r="E153" s="1374" t="s">
        <v>1561</v>
      </c>
      <c r="F153" s="1382"/>
      <c r="G153" s="1382"/>
      <c r="H153" s="1382"/>
      <c r="I153" s="1382"/>
      <c r="J153" s="1382"/>
      <c r="K153" s="955"/>
      <c r="L153" s="643"/>
      <c r="M153" s="643"/>
    </row>
    <row r="154" spans="1:14" s="246" customFormat="1" ht="74.25" customHeight="1" x14ac:dyDescent="0.25">
      <c r="A154" s="254"/>
      <c r="B154" s="254"/>
      <c r="C154" s="955"/>
      <c r="D154" s="1000"/>
      <c r="E154" s="1379" t="s">
        <v>1123</v>
      </c>
      <c r="F154" s="2255" t="s">
        <v>2015</v>
      </c>
      <c r="G154" s="2255"/>
      <c r="H154" s="2255"/>
      <c r="I154" s="2255"/>
      <c r="J154" s="2255"/>
      <c r="K154" s="955"/>
      <c r="L154" s="2250"/>
      <c r="M154" s="2250"/>
    </row>
    <row r="155" spans="1:14" s="246" customFormat="1" x14ac:dyDescent="0.25">
      <c r="A155" s="254"/>
      <c r="B155" s="254"/>
      <c r="C155" s="955"/>
      <c r="D155" s="1000"/>
      <c r="E155" s="1001"/>
      <c r="F155" s="2256" t="s">
        <v>2089</v>
      </c>
      <c r="G155" s="2256"/>
      <c r="H155" s="2256"/>
      <c r="I155" s="2256"/>
      <c r="J155" s="2256"/>
      <c r="K155" s="955"/>
    </row>
    <row r="156" spans="1:14" s="246" customFormat="1" ht="16.5" customHeight="1" x14ac:dyDescent="0.25">
      <c r="A156" s="254"/>
      <c r="B156" s="254"/>
      <c r="C156" s="955"/>
      <c r="D156" s="1000"/>
      <c r="E156" s="1379" t="s">
        <v>1123</v>
      </c>
      <c r="F156" s="2255" t="s">
        <v>1124</v>
      </c>
      <c r="G156" s="2255"/>
      <c r="H156" s="2255"/>
      <c r="I156" s="2255"/>
      <c r="J156" s="2255"/>
      <c r="K156" s="955"/>
    </row>
    <row r="157" spans="1:14" s="246" customFormat="1" ht="43.5" customHeight="1" x14ac:dyDescent="0.25">
      <c r="A157" s="254"/>
      <c r="B157" s="254"/>
      <c r="C157" s="955"/>
      <c r="D157" s="1000"/>
      <c r="E157" s="1379" t="s">
        <v>1123</v>
      </c>
      <c r="F157" s="2147" t="s">
        <v>1945</v>
      </c>
      <c r="G157" s="2147"/>
      <c r="H157" s="2147"/>
      <c r="I157" s="2147"/>
      <c r="J157" s="2147"/>
      <c r="K157" s="955"/>
    </row>
    <row r="158" spans="1:14" s="246" customFormat="1" ht="30.75" customHeight="1" x14ac:dyDescent="0.25">
      <c r="A158" s="254"/>
      <c r="B158" s="254"/>
      <c r="C158" s="1036"/>
      <c r="D158" s="2053"/>
      <c r="E158" s="1989" t="s">
        <v>1123</v>
      </c>
      <c r="F158" s="2249" t="s">
        <v>2017</v>
      </c>
      <c r="G158" s="2249"/>
      <c r="H158" s="2249"/>
      <c r="I158" s="2249"/>
      <c r="J158" s="2249"/>
      <c r="K158" s="1979" t="s">
        <v>2016</v>
      </c>
    </row>
    <row r="159" spans="1:14" s="246" customFormat="1" ht="33" customHeight="1" x14ac:dyDescent="0.25">
      <c r="A159" s="254"/>
      <c r="B159" s="254"/>
      <c r="C159" s="1036"/>
      <c r="D159" s="2053"/>
      <c r="E159" s="1989"/>
      <c r="F159" s="2249" t="s">
        <v>2018</v>
      </c>
      <c r="G159" s="2249"/>
      <c r="H159" s="2249"/>
      <c r="I159" s="2249"/>
      <c r="J159" s="2249"/>
      <c r="K159" s="1979" t="s">
        <v>2016</v>
      </c>
    </row>
    <row r="160" spans="1:14" s="246" customFormat="1" ht="48" customHeight="1" x14ac:dyDescent="0.25">
      <c r="A160" s="254"/>
      <c r="B160" s="254"/>
      <c r="C160" s="955"/>
      <c r="D160" s="1000"/>
      <c r="E160" s="1379" t="s">
        <v>1123</v>
      </c>
      <c r="F160" s="2260" t="s">
        <v>2090</v>
      </c>
      <c r="G160" s="2260"/>
      <c r="H160" s="2260"/>
      <c r="I160" s="2260"/>
      <c r="J160" s="2260"/>
      <c r="K160" s="955"/>
      <c r="L160" s="2251"/>
      <c r="M160" s="2251"/>
      <c r="N160" s="2251"/>
    </row>
    <row r="161" spans="1:16384" s="246" customFormat="1" ht="57" customHeight="1" x14ac:dyDescent="0.25">
      <c r="A161" s="254"/>
      <c r="B161" s="254"/>
      <c r="C161" s="955"/>
      <c r="D161" s="1000"/>
      <c r="E161" s="1379" t="s">
        <v>1123</v>
      </c>
      <c r="F161" s="2256" t="s">
        <v>2091</v>
      </c>
      <c r="G161" s="2256"/>
      <c r="H161" s="2256"/>
      <c r="I161" s="2256"/>
      <c r="J161" s="2256"/>
      <c r="K161" s="955"/>
      <c r="L161" s="2247"/>
      <c r="M161" s="2247"/>
    </row>
    <row r="162" spans="1:16384" s="246" customFormat="1" ht="32.25" customHeight="1" x14ac:dyDescent="0.25">
      <c r="A162" s="254"/>
      <c r="B162" s="254"/>
      <c r="C162" s="955"/>
      <c r="D162" s="1000"/>
      <c r="E162" s="1379" t="s">
        <v>1123</v>
      </c>
      <c r="F162" s="2256" t="s">
        <v>2092</v>
      </c>
      <c r="G162" s="2256"/>
      <c r="H162" s="2256"/>
      <c r="I162" s="2256"/>
      <c r="J162" s="2256"/>
      <c r="K162" s="955"/>
      <c r="L162" s="2247"/>
      <c r="M162" s="2247"/>
    </row>
    <row r="163" spans="1:16384" s="246" customFormat="1" ht="16.5" customHeight="1" x14ac:dyDescent="0.25">
      <c r="A163" s="255"/>
      <c r="B163" s="255"/>
      <c r="C163" s="955"/>
      <c r="D163" s="1266"/>
      <c r="E163" s="1386" t="s">
        <v>804</v>
      </c>
      <c r="F163" s="1386"/>
      <c r="G163" s="1386"/>
      <c r="H163" s="1383"/>
      <c r="I163" s="983"/>
      <c r="J163" s="983"/>
      <c r="K163" s="1383"/>
      <c r="L163" s="54"/>
      <c r="M163" s="54"/>
      <c r="N163" s="54"/>
      <c r="O163" s="54"/>
      <c r="P163" s="54"/>
      <c r="Q163" s="54"/>
      <c r="R163" s="54"/>
      <c r="S163" s="54"/>
      <c r="T163" s="54"/>
    </row>
    <row r="164" spans="1:16384" s="246" customFormat="1" ht="16.5" customHeight="1" x14ac:dyDescent="0.25">
      <c r="A164" s="255"/>
      <c r="B164" s="255"/>
      <c r="C164" s="955"/>
      <c r="D164" s="1266"/>
      <c r="E164" s="1047" t="s">
        <v>805</v>
      </c>
      <c r="F164" s="1047"/>
      <c r="G164" s="1047"/>
      <c r="H164" s="1383"/>
      <c r="I164" s="983"/>
      <c r="J164" s="983"/>
      <c r="K164" s="1387" t="s">
        <v>992</v>
      </c>
      <c r="L164" s="54"/>
      <c r="M164" s="54"/>
      <c r="N164" s="54"/>
      <c r="O164" s="54"/>
      <c r="P164" s="54"/>
      <c r="Q164" s="54"/>
      <c r="R164" s="54"/>
      <c r="S164" s="54"/>
      <c r="T164" s="54"/>
    </row>
    <row r="165" spans="1:16384" s="246" customFormat="1" ht="16.5" customHeight="1" x14ac:dyDescent="0.25">
      <c r="A165" s="254"/>
      <c r="B165" s="254"/>
      <c r="C165" s="955"/>
      <c r="D165" s="963"/>
      <c r="E165" s="957"/>
      <c r="F165" s="957"/>
      <c r="G165" s="955"/>
      <c r="H165" s="955"/>
      <c r="I165" s="1005"/>
      <c r="J165" s="1005"/>
      <c r="K165" s="955"/>
    </row>
    <row r="166" spans="1:16384" s="6" customFormat="1" ht="16.5" customHeight="1" x14ac:dyDescent="0.25">
      <c r="A166" s="256"/>
      <c r="B166" s="256"/>
      <c r="C166" s="1267" t="s">
        <v>286</v>
      </c>
      <c r="D166" s="1125">
        <f>D133+0.1</f>
        <v>9.7999999999999989</v>
      </c>
      <c r="E166" s="1931" t="s">
        <v>581</v>
      </c>
      <c r="F166" s="1932"/>
      <c r="G166" s="1933"/>
      <c r="H166" s="1933"/>
      <c r="I166" s="1933"/>
      <c r="J166" s="1136"/>
      <c r="K166" s="1363"/>
    </row>
    <row r="167" spans="1:16384" s="6" customFormat="1" ht="30" customHeight="1" x14ac:dyDescent="0.25">
      <c r="A167" s="1916"/>
      <c r="B167" s="1916"/>
      <c r="C167" s="1915"/>
      <c r="D167" s="1125"/>
      <c r="E167" s="2248" t="s">
        <v>1946</v>
      </c>
      <c r="F167" s="2248"/>
      <c r="G167" s="2248"/>
      <c r="H167" s="2248"/>
      <c r="I167" s="2248"/>
      <c r="J167" s="2248"/>
      <c r="K167" s="1929"/>
      <c r="L167" s="1929"/>
    </row>
    <row r="168" spans="1:16384" s="6" customFormat="1" x14ac:dyDescent="0.25">
      <c r="A168" s="256"/>
      <c r="B168" s="256"/>
      <c r="C168" s="955"/>
      <c r="D168" s="955"/>
      <c r="E168" s="486"/>
      <c r="F168" s="1934"/>
      <c r="G168" s="1934"/>
      <c r="H168" s="1934"/>
      <c r="I168" s="1934"/>
      <c r="J168" s="1136"/>
      <c r="K168" s="965"/>
    </row>
    <row r="169" spans="1:16384" s="6" customFormat="1" ht="51" customHeight="1" x14ac:dyDescent="0.25">
      <c r="A169" s="1165">
        <v>101</v>
      </c>
      <c r="B169" s="963" t="s">
        <v>1949</v>
      </c>
      <c r="C169" s="2242"/>
      <c r="D169" s="1360"/>
      <c r="E169" s="1935">
        <v>2024</v>
      </c>
      <c r="F169" s="486"/>
      <c r="G169" s="1936" t="s">
        <v>1947</v>
      </c>
      <c r="H169" s="1936" t="s">
        <v>1948</v>
      </c>
      <c r="I169" s="1936" t="s">
        <v>1661</v>
      </c>
      <c r="J169" s="1930" t="s">
        <v>103</v>
      </c>
      <c r="K169" s="2242"/>
      <c r="L169" s="1360"/>
      <c r="M169" s="955"/>
      <c r="N169" s="1361"/>
      <c r="O169" s="1360"/>
      <c r="P169" s="1925"/>
      <c r="Q169" s="955"/>
      <c r="R169" s="963"/>
      <c r="S169" s="2242"/>
      <c r="T169" s="1360"/>
      <c r="U169" s="955"/>
      <c r="V169" s="1361"/>
      <c r="W169" s="1360"/>
      <c r="X169" s="1925"/>
      <c r="Y169" s="955"/>
      <c r="Z169" s="963"/>
      <c r="AA169" s="2242"/>
      <c r="AB169" s="1360"/>
      <c r="AC169" s="955"/>
      <c r="AD169" s="1361"/>
      <c r="AE169" s="1360"/>
      <c r="AF169" s="1925"/>
      <c r="AG169" s="955"/>
      <c r="AH169" s="963"/>
      <c r="AI169" s="2242"/>
      <c r="AJ169" s="1360"/>
      <c r="AK169" s="955"/>
      <c r="AL169" s="1361"/>
      <c r="AM169" s="1360"/>
      <c r="AN169" s="1925"/>
      <c r="AO169" s="955"/>
      <c r="AP169" s="963"/>
      <c r="AQ169" s="2242"/>
      <c r="AR169" s="1360"/>
      <c r="AS169" s="955"/>
      <c r="AT169" s="1361"/>
      <c r="AU169" s="1360"/>
      <c r="AV169" s="1925"/>
      <c r="AW169" s="955"/>
      <c r="AX169" s="963"/>
      <c r="AY169" s="2242"/>
      <c r="AZ169" s="1360"/>
      <c r="BA169" s="955"/>
      <c r="BB169" s="1361"/>
      <c r="BC169" s="1360"/>
      <c r="BD169" s="1925"/>
      <c r="BE169" s="955"/>
      <c r="BF169" s="963"/>
      <c r="BG169" s="2242"/>
      <c r="BH169" s="1360"/>
      <c r="BI169" s="955"/>
      <c r="BJ169" s="1361"/>
      <c r="BK169" s="1360"/>
      <c r="BL169" s="1925"/>
      <c r="BM169" s="955"/>
      <c r="BN169" s="963"/>
      <c r="BO169" s="2242"/>
      <c r="BP169" s="1360"/>
      <c r="BQ169" s="955"/>
      <c r="BR169" s="1361"/>
      <c r="BS169" s="1360"/>
      <c r="BT169" s="1925"/>
      <c r="BU169" s="955"/>
      <c r="BV169" s="963"/>
      <c r="BW169" s="2242"/>
      <c r="BX169" s="1360"/>
      <c r="BY169" s="955"/>
      <c r="BZ169" s="1361"/>
      <c r="CA169" s="1360"/>
      <c r="CB169" s="1925"/>
      <c r="CC169" s="955"/>
      <c r="CD169" s="963"/>
      <c r="CE169" s="2242"/>
      <c r="CF169" s="1360"/>
      <c r="CG169" s="955"/>
      <c r="CH169" s="1361"/>
      <c r="CI169" s="1360"/>
      <c r="CJ169" s="1925"/>
      <c r="CK169" s="955"/>
      <c r="CL169" s="963"/>
      <c r="CM169" s="2242"/>
      <c r="CN169" s="1360"/>
      <c r="CO169" s="955"/>
      <c r="CP169" s="1361"/>
      <c r="CQ169" s="1360"/>
      <c r="CR169" s="1925"/>
      <c r="CS169" s="955"/>
      <c r="CT169" s="963"/>
      <c r="CU169" s="2242"/>
      <c r="CV169" s="1360"/>
      <c r="CW169" s="955"/>
      <c r="CX169" s="1361"/>
      <c r="CY169" s="1360"/>
      <c r="CZ169" s="1925"/>
      <c r="DA169" s="955"/>
      <c r="DB169" s="963"/>
      <c r="DC169" s="2242"/>
      <c r="DD169" s="1360"/>
      <c r="DE169" s="955"/>
      <c r="DF169" s="1361"/>
      <c r="DG169" s="1360"/>
      <c r="DH169" s="1925"/>
      <c r="DI169" s="955"/>
      <c r="DJ169" s="963"/>
      <c r="DK169" s="2242"/>
      <c r="DL169" s="1360"/>
      <c r="DM169" s="955"/>
      <c r="DN169" s="1361"/>
      <c r="DO169" s="1360"/>
      <c r="DP169" s="1925"/>
      <c r="DQ169" s="955"/>
      <c r="DR169" s="963"/>
      <c r="DS169" s="2242"/>
      <c r="DT169" s="1360"/>
      <c r="DU169" s="955"/>
      <c r="DV169" s="1361"/>
      <c r="DW169" s="1360"/>
      <c r="DX169" s="1925"/>
      <c r="DY169" s="955"/>
      <c r="DZ169" s="963"/>
      <c r="EA169" s="2242"/>
      <c r="EB169" s="1360"/>
      <c r="EC169" s="955"/>
      <c r="ED169" s="1361"/>
      <c r="EE169" s="1360"/>
      <c r="EF169" s="1925"/>
      <c r="EG169" s="955"/>
      <c r="EH169" s="963"/>
      <c r="EI169" s="2242"/>
      <c r="EJ169" s="1360"/>
      <c r="EK169" s="955"/>
      <c r="EL169" s="1361"/>
      <c r="EM169" s="1360"/>
      <c r="EN169" s="1925"/>
      <c r="EO169" s="955"/>
      <c r="EP169" s="963"/>
      <c r="EQ169" s="2242"/>
      <c r="ER169" s="1360"/>
      <c r="ES169" s="955"/>
      <c r="ET169" s="1361"/>
      <c r="EU169" s="1360"/>
      <c r="EV169" s="1925"/>
      <c r="EW169" s="955"/>
      <c r="EX169" s="963"/>
      <c r="EY169" s="2242"/>
      <c r="EZ169" s="1360"/>
      <c r="FA169" s="955"/>
      <c r="FB169" s="1361"/>
      <c r="FC169" s="1360"/>
      <c r="FD169" s="1925"/>
      <c r="FE169" s="955"/>
      <c r="FF169" s="963"/>
      <c r="FG169" s="2242"/>
      <c r="FH169" s="1360"/>
      <c r="FI169" s="955"/>
      <c r="FJ169" s="1361"/>
      <c r="FK169" s="1360"/>
      <c r="FL169" s="1925"/>
      <c r="FM169" s="955"/>
      <c r="FN169" s="963"/>
      <c r="FO169" s="2242"/>
      <c r="FP169" s="1360"/>
      <c r="FQ169" s="955"/>
      <c r="FR169" s="1361"/>
      <c r="FS169" s="1360"/>
      <c r="FT169" s="1925"/>
      <c r="FU169" s="955"/>
      <c r="FV169" s="963"/>
      <c r="FW169" s="2242"/>
      <c r="FX169" s="1360"/>
      <c r="FY169" s="955"/>
      <c r="FZ169" s="1361"/>
      <c r="GA169" s="1360"/>
      <c r="GB169" s="1925"/>
      <c r="GC169" s="955"/>
      <c r="GD169" s="963"/>
      <c r="GE169" s="2242"/>
      <c r="GF169" s="1360"/>
      <c r="GG169" s="955"/>
      <c r="GH169" s="1361"/>
      <c r="GI169" s="1360"/>
      <c r="GJ169" s="1925"/>
      <c r="GK169" s="955"/>
      <c r="GL169" s="963"/>
      <c r="GM169" s="2242"/>
      <c r="GN169" s="1360"/>
      <c r="GO169" s="955"/>
      <c r="GP169" s="1361"/>
      <c r="GQ169" s="1360"/>
      <c r="GR169" s="1925"/>
      <c r="GS169" s="955"/>
      <c r="GT169" s="963"/>
      <c r="GU169" s="2242"/>
      <c r="GV169" s="1360"/>
      <c r="GW169" s="955"/>
      <c r="GX169" s="1361"/>
      <c r="GY169" s="1360"/>
      <c r="GZ169" s="1925"/>
      <c r="HA169" s="955"/>
      <c r="HB169" s="963"/>
      <c r="HC169" s="2242"/>
      <c r="HD169" s="1360"/>
      <c r="HE169" s="955"/>
      <c r="HF169" s="1361"/>
      <c r="HG169" s="1360"/>
      <c r="HH169" s="1925"/>
      <c r="HI169" s="955"/>
      <c r="HJ169" s="963"/>
      <c r="HK169" s="2242"/>
      <c r="HL169" s="1360"/>
      <c r="HM169" s="955"/>
      <c r="HN169" s="1361"/>
      <c r="HO169" s="1360"/>
      <c r="HP169" s="1925"/>
      <c r="HQ169" s="955"/>
      <c r="HR169" s="963"/>
      <c r="HS169" s="2242"/>
      <c r="HT169" s="1360"/>
      <c r="HU169" s="955"/>
      <c r="HV169" s="1361"/>
      <c r="HW169" s="1360"/>
      <c r="HX169" s="1925"/>
      <c r="HY169" s="955"/>
      <c r="HZ169" s="963"/>
      <c r="IA169" s="2242"/>
      <c r="IB169" s="1360"/>
      <c r="IC169" s="955"/>
      <c r="ID169" s="1361"/>
      <c r="IE169" s="1360"/>
      <c r="IF169" s="1925"/>
      <c r="IG169" s="955"/>
      <c r="IH169" s="963"/>
      <c r="II169" s="2242"/>
      <c r="IJ169" s="1360"/>
      <c r="IK169" s="955"/>
      <c r="IL169" s="1361"/>
      <c r="IM169" s="1360"/>
      <c r="IN169" s="1925"/>
      <c r="IO169" s="955"/>
      <c r="IP169" s="963"/>
      <c r="IQ169" s="2242"/>
      <c r="IR169" s="1360"/>
      <c r="IS169" s="955"/>
      <c r="IT169" s="1361"/>
      <c r="IU169" s="1360"/>
      <c r="IV169" s="1925"/>
      <c r="IW169" s="955"/>
      <c r="IX169" s="963"/>
      <c r="IY169" s="2242"/>
      <c r="IZ169" s="1360"/>
      <c r="JA169" s="955"/>
      <c r="JB169" s="1361"/>
      <c r="JC169" s="1360"/>
      <c r="JD169" s="1925"/>
      <c r="JE169" s="955"/>
      <c r="JF169" s="963"/>
      <c r="JG169" s="2242"/>
      <c r="JH169" s="1360"/>
      <c r="JI169" s="955"/>
      <c r="JJ169" s="1361"/>
      <c r="JK169" s="1360"/>
      <c r="JL169" s="1925"/>
      <c r="JM169" s="955"/>
      <c r="JN169" s="963"/>
      <c r="JO169" s="2242"/>
      <c r="JP169" s="1360"/>
      <c r="JQ169" s="955"/>
      <c r="JR169" s="1361"/>
      <c r="JS169" s="1360"/>
      <c r="JT169" s="1925"/>
      <c r="JU169" s="955"/>
      <c r="JV169" s="963"/>
      <c r="JW169" s="2242"/>
      <c r="JX169" s="1360"/>
      <c r="JY169" s="955"/>
      <c r="JZ169" s="1361"/>
      <c r="KA169" s="1360"/>
      <c r="KB169" s="1925"/>
      <c r="KC169" s="955"/>
      <c r="KD169" s="963"/>
      <c r="KE169" s="2242"/>
      <c r="KF169" s="1360"/>
      <c r="KG169" s="955"/>
      <c r="KH169" s="1361"/>
      <c r="KI169" s="1360"/>
      <c r="KJ169" s="1925"/>
      <c r="KK169" s="955"/>
      <c r="KL169" s="963"/>
      <c r="KM169" s="2242"/>
      <c r="KN169" s="1360"/>
      <c r="KO169" s="955"/>
      <c r="KP169" s="1361"/>
      <c r="KQ169" s="1360"/>
      <c r="KR169" s="1925"/>
      <c r="KS169" s="955"/>
      <c r="KT169" s="963"/>
      <c r="KU169" s="2242"/>
      <c r="KV169" s="1360"/>
      <c r="KW169" s="955"/>
      <c r="KX169" s="1361"/>
      <c r="KY169" s="1360"/>
      <c r="KZ169" s="1925"/>
      <c r="LA169" s="955"/>
      <c r="LB169" s="963"/>
      <c r="LC169" s="2242"/>
      <c r="LD169" s="1360"/>
      <c r="LE169" s="955"/>
      <c r="LF169" s="1361"/>
      <c r="LG169" s="1360"/>
      <c r="LH169" s="1925"/>
      <c r="LI169" s="955"/>
      <c r="LJ169" s="963"/>
      <c r="LK169" s="2242"/>
      <c r="LL169" s="1360"/>
      <c r="LM169" s="955"/>
      <c r="LN169" s="1361"/>
      <c r="LO169" s="1360"/>
      <c r="LP169" s="1925"/>
      <c r="LQ169" s="955"/>
      <c r="LR169" s="963"/>
      <c r="LS169" s="2242"/>
      <c r="LT169" s="1360"/>
      <c r="LU169" s="955"/>
      <c r="LV169" s="1361"/>
      <c r="LW169" s="1360"/>
      <c r="LX169" s="1925"/>
      <c r="LY169" s="955"/>
      <c r="LZ169" s="963"/>
      <c r="MA169" s="2242"/>
      <c r="MB169" s="1360"/>
      <c r="MC169" s="955"/>
      <c r="MD169" s="1361"/>
      <c r="ME169" s="1360"/>
      <c r="MF169" s="1925"/>
      <c r="MG169" s="955"/>
      <c r="MH169" s="963"/>
      <c r="MI169" s="2242"/>
      <c r="MJ169" s="1360"/>
      <c r="MK169" s="955"/>
      <c r="ML169" s="1361"/>
      <c r="MM169" s="1360"/>
      <c r="MN169" s="1925"/>
      <c r="MO169" s="955"/>
      <c r="MP169" s="963"/>
      <c r="MQ169" s="2242"/>
      <c r="MR169" s="1360"/>
      <c r="MS169" s="955"/>
      <c r="MT169" s="1361"/>
      <c r="MU169" s="1360"/>
      <c r="MV169" s="1925"/>
      <c r="MW169" s="955"/>
      <c r="MX169" s="963"/>
      <c r="MY169" s="2242"/>
      <c r="MZ169" s="1360"/>
      <c r="NA169" s="955"/>
      <c r="NB169" s="1361"/>
      <c r="NC169" s="1360"/>
      <c r="ND169" s="1925"/>
      <c r="NE169" s="955"/>
      <c r="NF169" s="963"/>
      <c r="NG169" s="2242"/>
      <c r="NH169" s="1360"/>
      <c r="NI169" s="955"/>
      <c r="NJ169" s="1361"/>
      <c r="NK169" s="1360"/>
      <c r="NL169" s="1925"/>
      <c r="NM169" s="955"/>
      <c r="NN169" s="963"/>
      <c r="NO169" s="2242"/>
      <c r="NP169" s="1360"/>
      <c r="NQ169" s="955"/>
      <c r="NR169" s="1361"/>
      <c r="NS169" s="1360"/>
      <c r="NT169" s="1925"/>
      <c r="NU169" s="955"/>
      <c r="NV169" s="963"/>
      <c r="NW169" s="2242"/>
      <c r="NX169" s="1360"/>
      <c r="NY169" s="955"/>
      <c r="NZ169" s="1361"/>
      <c r="OA169" s="1360"/>
      <c r="OB169" s="1925"/>
      <c r="OC169" s="955"/>
      <c r="OD169" s="963"/>
      <c r="OE169" s="2242"/>
      <c r="OF169" s="1360"/>
      <c r="OG169" s="955"/>
      <c r="OH169" s="1361"/>
      <c r="OI169" s="1360"/>
      <c r="OJ169" s="1925"/>
      <c r="OK169" s="955"/>
      <c r="OL169" s="963"/>
      <c r="OM169" s="2242"/>
      <c r="ON169" s="1360"/>
      <c r="OO169" s="955"/>
      <c r="OP169" s="1361"/>
      <c r="OQ169" s="1360"/>
      <c r="OR169" s="1925"/>
      <c r="OS169" s="955"/>
      <c r="OT169" s="963"/>
      <c r="OU169" s="2242"/>
      <c r="OV169" s="1360"/>
      <c r="OW169" s="955"/>
      <c r="OX169" s="1361"/>
      <c r="OY169" s="1360"/>
      <c r="OZ169" s="1925"/>
      <c r="PA169" s="955"/>
      <c r="PB169" s="963"/>
      <c r="PC169" s="2242"/>
      <c r="PD169" s="1360"/>
      <c r="PE169" s="955"/>
      <c r="PF169" s="1361"/>
      <c r="PG169" s="1360"/>
      <c r="PH169" s="1925"/>
      <c r="PI169" s="955"/>
      <c r="PJ169" s="963"/>
      <c r="PK169" s="2242"/>
      <c r="PL169" s="1360"/>
      <c r="PM169" s="955"/>
      <c r="PN169" s="1361"/>
      <c r="PO169" s="1360"/>
      <c r="PP169" s="1925"/>
      <c r="PQ169" s="955"/>
      <c r="PR169" s="963"/>
      <c r="PS169" s="2242"/>
      <c r="PT169" s="1360"/>
      <c r="PU169" s="955"/>
      <c r="PV169" s="1361"/>
      <c r="PW169" s="1360"/>
      <c r="PX169" s="1925"/>
      <c r="PY169" s="955"/>
      <c r="PZ169" s="963"/>
      <c r="QA169" s="2242"/>
      <c r="QB169" s="1360"/>
      <c r="QC169" s="955"/>
      <c r="QD169" s="1361"/>
      <c r="QE169" s="1360"/>
      <c r="QF169" s="1925"/>
      <c r="QG169" s="955"/>
      <c r="QH169" s="963"/>
      <c r="QI169" s="2242"/>
      <c r="QJ169" s="1360"/>
      <c r="QK169" s="955"/>
      <c r="QL169" s="1361"/>
      <c r="QM169" s="1360"/>
      <c r="QN169" s="1925"/>
      <c r="QO169" s="955"/>
      <c r="QP169" s="963"/>
      <c r="QQ169" s="2242"/>
      <c r="QR169" s="1360"/>
      <c r="QS169" s="955"/>
      <c r="QT169" s="1361"/>
      <c r="QU169" s="1360"/>
      <c r="QV169" s="1925"/>
      <c r="QW169" s="955"/>
      <c r="QX169" s="963"/>
      <c r="QY169" s="2242"/>
      <c r="QZ169" s="1360"/>
      <c r="RA169" s="955"/>
      <c r="RB169" s="1361"/>
      <c r="RC169" s="1360"/>
      <c r="RD169" s="1925"/>
      <c r="RE169" s="955"/>
      <c r="RF169" s="963"/>
      <c r="RG169" s="2242"/>
      <c r="RH169" s="1360"/>
      <c r="RI169" s="955"/>
      <c r="RJ169" s="1361"/>
      <c r="RK169" s="1360"/>
      <c r="RL169" s="1925"/>
      <c r="RM169" s="955"/>
      <c r="RN169" s="963"/>
      <c r="RO169" s="2242"/>
      <c r="RP169" s="1360"/>
      <c r="RQ169" s="955"/>
      <c r="RR169" s="1361"/>
      <c r="RS169" s="1360"/>
      <c r="RT169" s="1925"/>
      <c r="RU169" s="955"/>
      <c r="RV169" s="963"/>
      <c r="RW169" s="2242"/>
      <c r="RX169" s="1360"/>
      <c r="RY169" s="955"/>
      <c r="RZ169" s="1361"/>
      <c r="SA169" s="1360"/>
      <c r="SB169" s="1925"/>
      <c r="SC169" s="955"/>
      <c r="SD169" s="963"/>
      <c r="SE169" s="2242"/>
      <c r="SF169" s="1360"/>
      <c r="SG169" s="955"/>
      <c r="SH169" s="1361"/>
      <c r="SI169" s="1360"/>
      <c r="SJ169" s="1925"/>
      <c r="SK169" s="955"/>
      <c r="SL169" s="963"/>
      <c r="SM169" s="2242"/>
      <c r="SN169" s="1360"/>
      <c r="SO169" s="955"/>
      <c r="SP169" s="1361"/>
      <c r="SQ169" s="1360"/>
      <c r="SR169" s="1925"/>
      <c r="SS169" s="955"/>
      <c r="ST169" s="963"/>
      <c r="SU169" s="2242"/>
      <c r="SV169" s="1360"/>
      <c r="SW169" s="955"/>
      <c r="SX169" s="1361"/>
      <c r="SY169" s="1360"/>
      <c r="SZ169" s="1925"/>
      <c r="TA169" s="955"/>
      <c r="TB169" s="963"/>
      <c r="TC169" s="2242"/>
      <c r="TD169" s="1360"/>
      <c r="TE169" s="955"/>
      <c r="TF169" s="1361"/>
      <c r="TG169" s="1360"/>
      <c r="TH169" s="1925"/>
      <c r="TI169" s="955"/>
      <c r="TJ169" s="963"/>
      <c r="TK169" s="2242"/>
      <c r="TL169" s="1360"/>
      <c r="TM169" s="955"/>
      <c r="TN169" s="1361"/>
      <c r="TO169" s="1360"/>
      <c r="TP169" s="1925"/>
      <c r="TQ169" s="955"/>
      <c r="TR169" s="963"/>
      <c r="TS169" s="2242"/>
      <c r="TT169" s="1360"/>
      <c r="TU169" s="955"/>
      <c r="TV169" s="1361"/>
      <c r="TW169" s="1360"/>
      <c r="TX169" s="1925"/>
      <c r="TY169" s="955"/>
      <c r="TZ169" s="963"/>
      <c r="UA169" s="2242"/>
      <c r="UB169" s="1360"/>
      <c r="UC169" s="955"/>
      <c r="UD169" s="1361"/>
      <c r="UE169" s="1360"/>
      <c r="UF169" s="1925"/>
      <c r="UG169" s="955"/>
      <c r="UH169" s="963"/>
      <c r="UI169" s="2242"/>
      <c r="UJ169" s="1360"/>
      <c r="UK169" s="955"/>
      <c r="UL169" s="1361"/>
      <c r="UM169" s="1360"/>
      <c r="UN169" s="1925"/>
      <c r="UO169" s="955"/>
      <c r="UP169" s="963"/>
      <c r="UQ169" s="2242"/>
      <c r="UR169" s="1360"/>
      <c r="US169" s="955"/>
      <c r="UT169" s="1361"/>
      <c r="UU169" s="1360"/>
      <c r="UV169" s="1925"/>
      <c r="UW169" s="955"/>
      <c r="UX169" s="963"/>
      <c r="UY169" s="2242"/>
      <c r="UZ169" s="1360"/>
      <c r="VA169" s="955"/>
      <c r="VB169" s="1361"/>
      <c r="VC169" s="1360"/>
      <c r="VD169" s="1925"/>
      <c r="VE169" s="955"/>
      <c r="VF169" s="963"/>
      <c r="VG169" s="2242"/>
      <c r="VH169" s="1360"/>
      <c r="VI169" s="955"/>
      <c r="VJ169" s="1361"/>
      <c r="VK169" s="1360"/>
      <c r="VL169" s="1925"/>
      <c r="VM169" s="955"/>
      <c r="VN169" s="963"/>
      <c r="VO169" s="2242"/>
      <c r="VP169" s="1360"/>
      <c r="VQ169" s="955"/>
      <c r="VR169" s="1361"/>
      <c r="VS169" s="1360"/>
      <c r="VT169" s="1925"/>
      <c r="VU169" s="955"/>
      <c r="VV169" s="963"/>
      <c r="VW169" s="2242"/>
      <c r="VX169" s="1360"/>
      <c r="VY169" s="955"/>
      <c r="VZ169" s="1361"/>
      <c r="WA169" s="1360"/>
      <c r="WB169" s="1925"/>
      <c r="WC169" s="955"/>
      <c r="WD169" s="963"/>
      <c r="WE169" s="2242"/>
      <c r="WF169" s="1360"/>
      <c r="WG169" s="955"/>
      <c r="WH169" s="1361"/>
      <c r="WI169" s="1360"/>
      <c r="WJ169" s="1925"/>
      <c r="WK169" s="955"/>
      <c r="WL169" s="963"/>
      <c r="WM169" s="2242"/>
      <c r="WN169" s="1360"/>
      <c r="WO169" s="955"/>
      <c r="WP169" s="1361"/>
      <c r="WQ169" s="1360"/>
      <c r="WR169" s="1925"/>
      <c r="WS169" s="955"/>
      <c r="WT169" s="963"/>
      <c r="WU169" s="2242"/>
      <c r="WV169" s="1360"/>
      <c r="WW169" s="955"/>
      <c r="WX169" s="1361"/>
      <c r="WY169" s="1360"/>
      <c r="WZ169" s="1925"/>
      <c r="XA169" s="955"/>
      <c r="XB169" s="963"/>
      <c r="XC169" s="2242"/>
      <c r="XD169" s="1360"/>
      <c r="XE169" s="955"/>
      <c r="XF169" s="1361"/>
      <c r="XG169" s="1360"/>
      <c r="XH169" s="1925"/>
      <c r="XI169" s="955"/>
      <c r="XJ169" s="963"/>
      <c r="XK169" s="2242"/>
      <c r="XL169" s="1360"/>
      <c r="XM169" s="955"/>
      <c r="XN169" s="1361"/>
      <c r="XO169" s="1360"/>
      <c r="XP169" s="1925"/>
      <c r="XQ169" s="955"/>
      <c r="XR169" s="963"/>
      <c r="XS169" s="2242"/>
      <c r="XT169" s="1360"/>
      <c r="XU169" s="955"/>
      <c r="XV169" s="1361"/>
      <c r="XW169" s="1360"/>
      <c r="XX169" s="1925"/>
      <c r="XY169" s="955"/>
      <c r="XZ169" s="963"/>
      <c r="YA169" s="2242"/>
      <c r="YB169" s="1360"/>
      <c r="YC169" s="955"/>
      <c r="YD169" s="1361"/>
      <c r="YE169" s="1360"/>
      <c r="YF169" s="1925"/>
      <c r="YG169" s="955"/>
      <c r="YH169" s="963"/>
      <c r="YI169" s="2242"/>
      <c r="YJ169" s="1360"/>
      <c r="YK169" s="955"/>
      <c r="YL169" s="1361"/>
      <c r="YM169" s="1360"/>
      <c r="YN169" s="1925"/>
      <c r="YO169" s="955"/>
      <c r="YP169" s="963"/>
      <c r="YQ169" s="2242"/>
      <c r="YR169" s="1360"/>
      <c r="YS169" s="955"/>
      <c r="YT169" s="1361"/>
      <c r="YU169" s="1360"/>
      <c r="YV169" s="1925"/>
      <c r="YW169" s="955"/>
      <c r="YX169" s="963"/>
      <c r="YY169" s="2242"/>
      <c r="YZ169" s="1360"/>
      <c r="ZA169" s="955"/>
      <c r="ZB169" s="1361"/>
      <c r="ZC169" s="1360"/>
      <c r="ZD169" s="1925"/>
      <c r="ZE169" s="955"/>
      <c r="ZF169" s="963"/>
      <c r="ZG169" s="2242"/>
      <c r="ZH169" s="1360"/>
      <c r="ZI169" s="955"/>
      <c r="ZJ169" s="1361"/>
      <c r="ZK169" s="1360"/>
      <c r="ZL169" s="1925"/>
      <c r="ZM169" s="955"/>
      <c r="ZN169" s="963"/>
      <c r="ZO169" s="2242"/>
      <c r="ZP169" s="1360"/>
      <c r="ZQ169" s="955"/>
      <c r="ZR169" s="1361"/>
      <c r="ZS169" s="1360"/>
      <c r="ZT169" s="1925"/>
      <c r="ZU169" s="955"/>
      <c r="ZV169" s="963"/>
      <c r="ZW169" s="2242"/>
      <c r="ZX169" s="1360"/>
      <c r="ZY169" s="955"/>
      <c r="ZZ169" s="1361"/>
      <c r="AAA169" s="1360"/>
      <c r="AAB169" s="1925"/>
      <c r="AAC169" s="955"/>
      <c r="AAD169" s="963"/>
      <c r="AAE169" s="2242"/>
      <c r="AAF169" s="1360"/>
      <c r="AAG169" s="955"/>
      <c r="AAH169" s="1361"/>
      <c r="AAI169" s="1360"/>
      <c r="AAJ169" s="1925"/>
      <c r="AAK169" s="955"/>
      <c r="AAL169" s="963"/>
      <c r="AAM169" s="2242"/>
      <c r="AAN169" s="1360"/>
      <c r="AAO169" s="955"/>
      <c r="AAP169" s="1361"/>
      <c r="AAQ169" s="1360"/>
      <c r="AAR169" s="1925"/>
      <c r="AAS169" s="955"/>
      <c r="AAT169" s="963"/>
      <c r="AAU169" s="2242"/>
      <c r="AAV169" s="1360"/>
      <c r="AAW169" s="955"/>
      <c r="AAX169" s="1361"/>
      <c r="AAY169" s="1360"/>
      <c r="AAZ169" s="1925"/>
      <c r="ABA169" s="955"/>
      <c r="ABB169" s="963"/>
      <c r="ABC169" s="2242"/>
      <c r="ABD169" s="1360"/>
      <c r="ABE169" s="955"/>
      <c r="ABF169" s="1361"/>
      <c r="ABG169" s="1360"/>
      <c r="ABH169" s="1925"/>
      <c r="ABI169" s="955"/>
      <c r="ABJ169" s="963"/>
      <c r="ABK169" s="2242"/>
      <c r="ABL169" s="1360"/>
      <c r="ABM169" s="955"/>
      <c r="ABN169" s="1361"/>
      <c r="ABO169" s="1360"/>
      <c r="ABP169" s="1925"/>
      <c r="ABQ169" s="955"/>
      <c r="ABR169" s="963"/>
      <c r="ABS169" s="2242"/>
      <c r="ABT169" s="1360"/>
      <c r="ABU169" s="955"/>
      <c r="ABV169" s="1361"/>
      <c r="ABW169" s="1360"/>
      <c r="ABX169" s="1925"/>
      <c r="ABY169" s="955"/>
      <c r="ABZ169" s="963"/>
      <c r="ACA169" s="2242"/>
      <c r="ACB169" s="1360"/>
      <c r="ACC169" s="955"/>
      <c r="ACD169" s="1361"/>
      <c r="ACE169" s="1360"/>
      <c r="ACF169" s="1925"/>
      <c r="ACG169" s="955"/>
      <c r="ACH169" s="963"/>
      <c r="ACI169" s="2242"/>
      <c r="ACJ169" s="1360"/>
      <c r="ACK169" s="955"/>
      <c r="ACL169" s="1361"/>
      <c r="ACM169" s="1360"/>
      <c r="ACN169" s="1925"/>
      <c r="ACO169" s="955"/>
      <c r="ACP169" s="963"/>
      <c r="ACQ169" s="2242"/>
      <c r="ACR169" s="1360"/>
      <c r="ACS169" s="955"/>
      <c r="ACT169" s="1361"/>
      <c r="ACU169" s="1360"/>
      <c r="ACV169" s="1925"/>
      <c r="ACW169" s="955"/>
      <c r="ACX169" s="963"/>
      <c r="ACY169" s="2242"/>
      <c r="ACZ169" s="1360"/>
      <c r="ADA169" s="955"/>
      <c r="ADB169" s="1361"/>
      <c r="ADC169" s="1360"/>
      <c r="ADD169" s="1925"/>
      <c r="ADE169" s="955"/>
      <c r="ADF169" s="963"/>
      <c r="ADG169" s="2242"/>
      <c r="ADH169" s="1360"/>
      <c r="ADI169" s="955"/>
      <c r="ADJ169" s="1361"/>
      <c r="ADK169" s="1360"/>
      <c r="ADL169" s="1925"/>
      <c r="ADM169" s="955"/>
      <c r="ADN169" s="963"/>
      <c r="ADO169" s="2242"/>
      <c r="ADP169" s="1360"/>
      <c r="ADQ169" s="955"/>
      <c r="ADR169" s="1361"/>
      <c r="ADS169" s="1360"/>
      <c r="ADT169" s="1925"/>
      <c r="ADU169" s="955"/>
      <c r="ADV169" s="963"/>
      <c r="ADW169" s="2242"/>
      <c r="ADX169" s="1360"/>
      <c r="ADY169" s="955"/>
      <c r="ADZ169" s="1361"/>
      <c r="AEA169" s="1360"/>
      <c r="AEB169" s="1925"/>
      <c r="AEC169" s="955"/>
      <c r="AED169" s="963"/>
      <c r="AEE169" s="2242"/>
      <c r="AEF169" s="1360"/>
      <c r="AEG169" s="955"/>
      <c r="AEH169" s="1361"/>
      <c r="AEI169" s="1360"/>
      <c r="AEJ169" s="1925"/>
      <c r="AEK169" s="955"/>
      <c r="AEL169" s="963"/>
      <c r="AEM169" s="2242"/>
      <c r="AEN169" s="1360"/>
      <c r="AEO169" s="955"/>
      <c r="AEP169" s="1361"/>
      <c r="AEQ169" s="1360"/>
      <c r="AER169" s="1925"/>
      <c r="AES169" s="955"/>
      <c r="AET169" s="963"/>
      <c r="AEU169" s="2242"/>
      <c r="AEV169" s="1360"/>
      <c r="AEW169" s="955"/>
      <c r="AEX169" s="1361"/>
      <c r="AEY169" s="1360"/>
      <c r="AEZ169" s="1925"/>
      <c r="AFA169" s="955"/>
      <c r="AFB169" s="963"/>
      <c r="AFC169" s="2242"/>
      <c r="AFD169" s="1360"/>
      <c r="AFE169" s="955"/>
      <c r="AFF169" s="1361"/>
      <c r="AFG169" s="1360"/>
      <c r="AFH169" s="1925"/>
      <c r="AFI169" s="955"/>
      <c r="AFJ169" s="963"/>
      <c r="AFK169" s="2242"/>
      <c r="AFL169" s="1360"/>
      <c r="AFM169" s="955"/>
      <c r="AFN169" s="1361"/>
      <c r="AFO169" s="1360"/>
      <c r="AFP169" s="1925"/>
      <c r="AFQ169" s="955"/>
      <c r="AFR169" s="963"/>
      <c r="AFS169" s="2242"/>
      <c r="AFT169" s="1360"/>
      <c r="AFU169" s="955"/>
      <c r="AFV169" s="1361"/>
      <c r="AFW169" s="1360"/>
      <c r="AFX169" s="1925"/>
      <c r="AFY169" s="955"/>
      <c r="AFZ169" s="963"/>
      <c r="AGA169" s="2242"/>
      <c r="AGB169" s="1360"/>
      <c r="AGC169" s="955"/>
      <c r="AGD169" s="1361"/>
      <c r="AGE169" s="1360"/>
      <c r="AGF169" s="1925"/>
      <c r="AGG169" s="955"/>
      <c r="AGH169" s="963"/>
      <c r="AGI169" s="2242"/>
      <c r="AGJ169" s="1360"/>
      <c r="AGK169" s="955"/>
      <c r="AGL169" s="1361"/>
      <c r="AGM169" s="1360"/>
      <c r="AGN169" s="1925"/>
      <c r="AGO169" s="955"/>
      <c r="AGP169" s="963"/>
      <c r="AGQ169" s="2242"/>
      <c r="AGR169" s="1360"/>
      <c r="AGS169" s="955"/>
      <c r="AGT169" s="1361"/>
      <c r="AGU169" s="1360"/>
      <c r="AGV169" s="1925"/>
      <c r="AGW169" s="955"/>
      <c r="AGX169" s="963"/>
      <c r="AGY169" s="2242"/>
      <c r="AGZ169" s="1360"/>
      <c r="AHA169" s="955"/>
      <c r="AHB169" s="1361"/>
      <c r="AHC169" s="1360"/>
      <c r="AHD169" s="1925"/>
      <c r="AHE169" s="955"/>
      <c r="AHF169" s="963"/>
      <c r="AHG169" s="2242"/>
      <c r="AHH169" s="1360"/>
      <c r="AHI169" s="955"/>
      <c r="AHJ169" s="1361"/>
      <c r="AHK169" s="1360"/>
      <c r="AHL169" s="1925"/>
      <c r="AHM169" s="955"/>
      <c r="AHN169" s="963"/>
      <c r="AHO169" s="2242"/>
      <c r="AHP169" s="1360"/>
      <c r="AHQ169" s="955"/>
      <c r="AHR169" s="1361"/>
      <c r="AHS169" s="1360"/>
      <c r="AHT169" s="1925"/>
      <c r="AHU169" s="955"/>
      <c r="AHV169" s="963"/>
      <c r="AHW169" s="2242"/>
      <c r="AHX169" s="1360"/>
      <c r="AHY169" s="955"/>
      <c r="AHZ169" s="1361"/>
      <c r="AIA169" s="1360"/>
      <c r="AIB169" s="1925"/>
      <c r="AIC169" s="955"/>
      <c r="AID169" s="963"/>
      <c r="AIE169" s="2242"/>
      <c r="AIF169" s="1360"/>
      <c r="AIG169" s="955"/>
      <c r="AIH169" s="1361"/>
      <c r="AII169" s="1360"/>
      <c r="AIJ169" s="1925"/>
      <c r="AIK169" s="955"/>
      <c r="AIL169" s="963"/>
      <c r="AIM169" s="2242"/>
      <c r="AIN169" s="1360"/>
      <c r="AIO169" s="955"/>
      <c r="AIP169" s="1361"/>
      <c r="AIQ169" s="1360"/>
      <c r="AIR169" s="1925"/>
      <c r="AIS169" s="955"/>
      <c r="AIT169" s="963"/>
      <c r="AIU169" s="2242"/>
      <c r="AIV169" s="1360"/>
      <c r="AIW169" s="955"/>
      <c r="AIX169" s="1361"/>
      <c r="AIY169" s="1360"/>
      <c r="AIZ169" s="1925"/>
      <c r="AJA169" s="955"/>
      <c r="AJB169" s="963"/>
      <c r="AJC169" s="2242"/>
      <c r="AJD169" s="1360"/>
      <c r="AJE169" s="955"/>
      <c r="AJF169" s="1361"/>
      <c r="AJG169" s="1360"/>
      <c r="AJH169" s="1925"/>
      <c r="AJI169" s="955"/>
      <c r="AJJ169" s="963"/>
      <c r="AJK169" s="2242"/>
      <c r="AJL169" s="1360"/>
      <c r="AJM169" s="955"/>
      <c r="AJN169" s="1361"/>
      <c r="AJO169" s="1360"/>
      <c r="AJP169" s="1925"/>
      <c r="AJQ169" s="955"/>
      <c r="AJR169" s="963"/>
      <c r="AJS169" s="2242"/>
      <c r="AJT169" s="1360"/>
      <c r="AJU169" s="955"/>
      <c r="AJV169" s="1361"/>
      <c r="AJW169" s="1360"/>
      <c r="AJX169" s="1925"/>
      <c r="AJY169" s="955"/>
      <c r="AJZ169" s="963"/>
      <c r="AKA169" s="2242"/>
      <c r="AKB169" s="1360"/>
      <c r="AKC169" s="955"/>
      <c r="AKD169" s="1361"/>
      <c r="AKE169" s="1360"/>
      <c r="AKF169" s="1925"/>
      <c r="AKG169" s="955"/>
      <c r="AKH169" s="963"/>
      <c r="AKI169" s="2242"/>
      <c r="AKJ169" s="1360"/>
      <c r="AKK169" s="955"/>
      <c r="AKL169" s="1361"/>
      <c r="AKM169" s="1360"/>
      <c r="AKN169" s="1925"/>
      <c r="AKO169" s="955"/>
      <c r="AKP169" s="963"/>
      <c r="AKQ169" s="2242"/>
      <c r="AKR169" s="1360"/>
      <c r="AKS169" s="955"/>
      <c r="AKT169" s="1361"/>
      <c r="AKU169" s="1360"/>
      <c r="AKV169" s="1925"/>
      <c r="AKW169" s="955"/>
      <c r="AKX169" s="963"/>
      <c r="AKY169" s="2242"/>
      <c r="AKZ169" s="1360"/>
      <c r="ALA169" s="955"/>
      <c r="ALB169" s="1361"/>
      <c r="ALC169" s="1360"/>
      <c r="ALD169" s="1925"/>
      <c r="ALE169" s="955"/>
      <c r="ALF169" s="963"/>
      <c r="ALG169" s="2242"/>
      <c r="ALH169" s="1360"/>
      <c r="ALI169" s="955"/>
      <c r="ALJ169" s="1361"/>
      <c r="ALK169" s="1360"/>
      <c r="ALL169" s="1925"/>
      <c r="ALM169" s="955"/>
      <c r="ALN169" s="963"/>
      <c r="ALO169" s="2242"/>
      <c r="ALP169" s="1360"/>
      <c r="ALQ169" s="955"/>
      <c r="ALR169" s="1361"/>
      <c r="ALS169" s="1360"/>
      <c r="ALT169" s="1925"/>
      <c r="ALU169" s="955"/>
      <c r="ALV169" s="963"/>
      <c r="ALW169" s="2242"/>
      <c r="ALX169" s="1360"/>
      <c r="ALY169" s="955"/>
      <c r="ALZ169" s="1361"/>
      <c r="AMA169" s="1360"/>
      <c r="AMB169" s="1925"/>
      <c r="AMC169" s="955"/>
      <c r="AMD169" s="963"/>
      <c r="AME169" s="2242"/>
      <c r="AMF169" s="1360"/>
      <c r="AMG169" s="955"/>
      <c r="AMH169" s="1361"/>
      <c r="AMI169" s="1360"/>
      <c r="AMJ169" s="1925"/>
      <c r="AMK169" s="955"/>
      <c r="AML169" s="963"/>
      <c r="AMM169" s="2242"/>
      <c r="AMN169" s="1360"/>
      <c r="AMO169" s="955"/>
      <c r="AMP169" s="1361"/>
      <c r="AMQ169" s="1360"/>
      <c r="AMR169" s="1925"/>
      <c r="AMS169" s="955"/>
      <c r="AMT169" s="963"/>
      <c r="AMU169" s="2242"/>
      <c r="AMV169" s="1360"/>
      <c r="AMW169" s="955"/>
      <c r="AMX169" s="1361"/>
      <c r="AMY169" s="1360"/>
      <c r="AMZ169" s="1925"/>
      <c r="ANA169" s="955"/>
      <c r="ANB169" s="963"/>
      <c r="ANC169" s="2242"/>
      <c r="AND169" s="1360"/>
      <c r="ANE169" s="955"/>
      <c r="ANF169" s="1361"/>
      <c r="ANG169" s="1360"/>
      <c r="ANH169" s="1925"/>
      <c r="ANI169" s="955"/>
      <c r="ANJ169" s="963"/>
      <c r="ANK169" s="2242"/>
      <c r="ANL169" s="1360"/>
      <c r="ANM169" s="955"/>
      <c r="ANN169" s="1361"/>
      <c r="ANO169" s="1360"/>
      <c r="ANP169" s="1925"/>
      <c r="ANQ169" s="955"/>
      <c r="ANR169" s="963"/>
      <c r="ANS169" s="2242"/>
      <c r="ANT169" s="1360"/>
      <c r="ANU169" s="955"/>
      <c r="ANV169" s="1361"/>
      <c r="ANW169" s="1360"/>
      <c r="ANX169" s="1925"/>
      <c r="ANY169" s="955"/>
      <c r="ANZ169" s="963"/>
      <c r="AOA169" s="2242"/>
      <c r="AOB169" s="1360"/>
      <c r="AOC169" s="955"/>
      <c r="AOD169" s="1361"/>
      <c r="AOE169" s="1360"/>
      <c r="AOF169" s="1925"/>
      <c r="AOG169" s="955"/>
      <c r="AOH169" s="963"/>
      <c r="AOI169" s="2242"/>
      <c r="AOJ169" s="1360"/>
      <c r="AOK169" s="955"/>
      <c r="AOL169" s="1361"/>
      <c r="AOM169" s="1360"/>
      <c r="AON169" s="1925"/>
      <c r="AOO169" s="955"/>
      <c r="AOP169" s="963"/>
      <c r="AOQ169" s="2242"/>
      <c r="AOR169" s="1360"/>
      <c r="AOS169" s="955"/>
      <c r="AOT169" s="1361"/>
      <c r="AOU169" s="1360"/>
      <c r="AOV169" s="1925"/>
      <c r="AOW169" s="955"/>
      <c r="AOX169" s="963"/>
      <c r="AOY169" s="2242"/>
      <c r="AOZ169" s="1360"/>
      <c r="APA169" s="955"/>
      <c r="APB169" s="1361"/>
      <c r="APC169" s="1360"/>
      <c r="APD169" s="1925"/>
      <c r="APE169" s="955"/>
      <c r="APF169" s="963"/>
      <c r="APG169" s="2242"/>
      <c r="APH169" s="1360"/>
      <c r="API169" s="955"/>
      <c r="APJ169" s="1361"/>
      <c r="APK169" s="1360"/>
      <c r="APL169" s="1925"/>
      <c r="APM169" s="955"/>
      <c r="APN169" s="963"/>
      <c r="APO169" s="2242"/>
      <c r="APP169" s="1360"/>
      <c r="APQ169" s="955"/>
      <c r="APR169" s="1361"/>
      <c r="APS169" s="1360"/>
      <c r="APT169" s="1925"/>
      <c r="APU169" s="955"/>
      <c r="APV169" s="963"/>
      <c r="APW169" s="2242"/>
      <c r="APX169" s="1360"/>
      <c r="APY169" s="955"/>
      <c r="APZ169" s="1361"/>
      <c r="AQA169" s="1360"/>
      <c r="AQB169" s="1925"/>
      <c r="AQC169" s="955"/>
      <c r="AQD169" s="963"/>
      <c r="AQE169" s="2242"/>
      <c r="AQF169" s="1360"/>
      <c r="AQG169" s="955"/>
      <c r="AQH169" s="1361"/>
      <c r="AQI169" s="1360"/>
      <c r="AQJ169" s="1925"/>
      <c r="AQK169" s="955"/>
      <c r="AQL169" s="963"/>
      <c r="AQM169" s="2242"/>
      <c r="AQN169" s="1360"/>
      <c r="AQO169" s="955"/>
      <c r="AQP169" s="1361"/>
      <c r="AQQ169" s="1360"/>
      <c r="AQR169" s="1925"/>
      <c r="AQS169" s="955"/>
      <c r="AQT169" s="963"/>
      <c r="AQU169" s="2242"/>
      <c r="AQV169" s="1360"/>
      <c r="AQW169" s="955"/>
      <c r="AQX169" s="1361"/>
      <c r="AQY169" s="1360"/>
      <c r="AQZ169" s="1925"/>
      <c r="ARA169" s="955"/>
      <c r="ARB169" s="963"/>
      <c r="ARC169" s="2242"/>
      <c r="ARD169" s="1360"/>
      <c r="ARE169" s="955"/>
      <c r="ARF169" s="1361"/>
      <c r="ARG169" s="1360"/>
      <c r="ARH169" s="1925"/>
      <c r="ARI169" s="955"/>
      <c r="ARJ169" s="963"/>
      <c r="ARK169" s="2242"/>
      <c r="ARL169" s="1360"/>
      <c r="ARM169" s="955"/>
      <c r="ARN169" s="1361"/>
      <c r="ARO169" s="1360"/>
      <c r="ARP169" s="1925"/>
      <c r="ARQ169" s="955"/>
      <c r="ARR169" s="963"/>
      <c r="ARS169" s="2242"/>
      <c r="ART169" s="1360"/>
      <c r="ARU169" s="955"/>
      <c r="ARV169" s="1361"/>
      <c r="ARW169" s="1360"/>
      <c r="ARX169" s="1925"/>
      <c r="ARY169" s="955"/>
      <c r="ARZ169" s="963"/>
      <c r="ASA169" s="2242"/>
      <c r="ASB169" s="1360"/>
      <c r="ASC169" s="955"/>
      <c r="ASD169" s="1361"/>
      <c r="ASE169" s="1360"/>
      <c r="ASF169" s="1925"/>
      <c r="ASG169" s="955"/>
      <c r="ASH169" s="963"/>
      <c r="ASI169" s="2242"/>
      <c r="ASJ169" s="1360"/>
      <c r="ASK169" s="955"/>
      <c r="ASL169" s="1361"/>
      <c r="ASM169" s="1360"/>
      <c r="ASN169" s="1925"/>
      <c r="ASO169" s="955"/>
      <c r="ASP169" s="963"/>
      <c r="ASQ169" s="2242"/>
      <c r="ASR169" s="1360"/>
      <c r="ASS169" s="955"/>
      <c r="AST169" s="1361"/>
      <c r="ASU169" s="1360"/>
      <c r="ASV169" s="1925"/>
      <c r="ASW169" s="955"/>
      <c r="ASX169" s="963"/>
      <c r="ASY169" s="2242"/>
      <c r="ASZ169" s="1360"/>
      <c r="ATA169" s="955"/>
      <c r="ATB169" s="1361"/>
      <c r="ATC169" s="1360"/>
      <c r="ATD169" s="1925"/>
      <c r="ATE169" s="955"/>
      <c r="ATF169" s="963"/>
      <c r="ATG169" s="2242"/>
      <c r="ATH169" s="1360"/>
      <c r="ATI169" s="955"/>
      <c r="ATJ169" s="1361"/>
      <c r="ATK169" s="1360"/>
      <c r="ATL169" s="1925"/>
      <c r="ATM169" s="955"/>
      <c r="ATN169" s="963"/>
      <c r="ATO169" s="2242"/>
      <c r="ATP169" s="1360"/>
      <c r="ATQ169" s="955"/>
      <c r="ATR169" s="1361"/>
      <c r="ATS169" s="1360"/>
      <c r="ATT169" s="1925"/>
      <c r="ATU169" s="955"/>
      <c r="ATV169" s="963"/>
      <c r="ATW169" s="2242"/>
      <c r="ATX169" s="1360"/>
      <c r="ATY169" s="955"/>
      <c r="ATZ169" s="1361"/>
      <c r="AUA169" s="1360"/>
      <c r="AUB169" s="1925"/>
      <c r="AUC169" s="955"/>
      <c r="AUD169" s="963"/>
      <c r="AUE169" s="2242"/>
      <c r="AUF169" s="1360"/>
      <c r="AUG169" s="955"/>
      <c r="AUH169" s="1361"/>
      <c r="AUI169" s="1360"/>
      <c r="AUJ169" s="1925"/>
      <c r="AUK169" s="955"/>
      <c r="AUL169" s="963"/>
      <c r="AUM169" s="2242"/>
      <c r="AUN169" s="1360"/>
      <c r="AUO169" s="955"/>
      <c r="AUP169" s="1361"/>
      <c r="AUQ169" s="1360"/>
      <c r="AUR169" s="1925"/>
      <c r="AUS169" s="955"/>
      <c r="AUT169" s="963"/>
      <c r="AUU169" s="2242"/>
      <c r="AUV169" s="1360"/>
      <c r="AUW169" s="955"/>
      <c r="AUX169" s="1361"/>
      <c r="AUY169" s="1360"/>
      <c r="AUZ169" s="1925"/>
      <c r="AVA169" s="955"/>
      <c r="AVB169" s="963"/>
      <c r="AVC169" s="2242"/>
      <c r="AVD169" s="1360"/>
      <c r="AVE169" s="955"/>
      <c r="AVF169" s="1361"/>
      <c r="AVG169" s="1360"/>
      <c r="AVH169" s="1925"/>
      <c r="AVI169" s="955"/>
      <c r="AVJ169" s="963"/>
      <c r="AVK169" s="2242"/>
      <c r="AVL169" s="1360"/>
      <c r="AVM169" s="955"/>
      <c r="AVN169" s="1361"/>
      <c r="AVO169" s="1360"/>
      <c r="AVP169" s="1925"/>
      <c r="AVQ169" s="955"/>
      <c r="AVR169" s="963"/>
      <c r="AVS169" s="2242"/>
      <c r="AVT169" s="1360"/>
      <c r="AVU169" s="955"/>
      <c r="AVV169" s="1361"/>
      <c r="AVW169" s="1360"/>
      <c r="AVX169" s="1925"/>
      <c r="AVY169" s="955"/>
      <c r="AVZ169" s="963"/>
      <c r="AWA169" s="2242"/>
      <c r="AWB169" s="1360"/>
      <c r="AWC169" s="955"/>
      <c r="AWD169" s="1361"/>
      <c r="AWE169" s="1360"/>
      <c r="AWF169" s="1925"/>
      <c r="AWG169" s="955"/>
      <c r="AWH169" s="963"/>
      <c r="AWI169" s="2242"/>
      <c r="AWJ169" s="1360"/>
      <c r="AWK169" s="955"/>
      <c r="AWL169" s="1361"/>
      <c r="AWM169" s="1360"/>
      <c r="AWN169" s="1925"/>
      <c r="AWO169" s="955"/>
      <c r="AWP169" s="963"/>
      <c r="AWQ169" s="2242"/>
      <c r="AWR169" s="1360"/>
      <c r="AWS169" s="955"/>
      <c r="AWT169" s="1361"/>
      <c r="AWU169" s="1360"/>
      <c r="AWV169" s="1925"/>
      <c r="AWW169" s="955"/>
      <c r="AWX169" s="963"/>
      <c r="AWY169" s="2242"/>
      <c r="AWZ169" s="1360"/>
      <c r="AXA169" s="955"/>
      <c r="AXB169" s="1361"/>
      <c r="AXC169" s="1360"/>
      <c r="AXD169" s="1925"/>
      <c r="AXE169" s="955"/>
      <c r="AXF169" s="963"/>
      <c r="AXG169" s="2242"/>
      <c r="AXH169" s="1360"/>
      <c r="AXI169" s="955"/>
      <c r="AXJ169" s="1361"/>
      <c r="AXK169" s="1360"/>
      <c r="AXL169" s="1925"/>
      <c r="AXM169" s="955"/>
      <c r="AXN169" s="963"/>
      <c r="AXO169" s="2242"/>
      <c r="AXP169" s="1360"/>
      <c r="AXQ169" s="955"/>
      <c r="AXR169" s="1361"/>
      <c r="AXS169" s="1360"/>
      <c r="AXT169" s="1925"/>
      <c r="AXU169" s="955"/>
      <c r="AXV169" s="963"/>
      <c r="AXW169" s="2242"/>
      <c r="AXX169" s="1360"/>
      <c r="AXY169" s="955"/>
      <c r="AXZ169" s="1361"/>
      <c r="AYA169" s="1360"/>
      <c r="AYB169" s="1925"/>
      <c r="AYC169" s="955"/>
      <c r="AYD169" s="963"/>
      <c r="AYE169" s="2242"/>
      <c r="AYF169" s="1360"/>
      <c r="AYG169" s="955"/>
      <c r="AYH169" s="1361"/>
      <c r="AYI169" s="1360"/>
      <c r="AYJ169" s="1925"/>
      <c r="AYK169" s="955"/>
      <c r="AYL169" s="963"/>
      <c r="AYM169" s="2242"/>
      <c r="AYN169" s="1360"/>
      <c r="AYO169" s="955"/>
      <c r="AYP169" s="1361"/>
      <c r="AYQ169" s="1360"/>
      <c r="AYR169" s="1925"/>
      <c r="AYS169" s="955"/>
      <c r="AYT169" s="963"/>
      <c r="AYU169" s="2242"/>
      <c r="AYV169" s="1360"/>
      <c r="AYW169" s="955"/>
      <c r="AYX169" s="1361"/>
      <c r="AYY169" s="1360"/>
      <c r="AYZ169" s="1925"/>
      <c r="AZA169" s="955"/>
      <c r="AZB169" s="963"/>
      <c r="AZC169" s="2242"/>
      <c r="AZD169" s="1360"/>
      <c r="AZE169" s="955"/>
      <c r="AZF169" s="1361"/>
      <c r="AZG169" s="1360"/>
      <c r="AZH169" s="1925"/>
      <c r="AZI169" s="955"/>
      <c r="AZJ169" s="963"/>
      <c r="AZK169" s="2242"/>
      <c r="AZL169" s="1360"/>
      <c r="AZM169" s="955"/>
      <c r="AZN169" s="1361"/>
      <c r="AZO169" s="1360"/>
      <c r="AZP169" s="1925"/>
      <c r="AZQ169" s="955"/>
      <c r="AZR169" s="963"/>
      <c r="AZS169" s="2242"/>
      <c r="AZT169" s="1360"/>
      <c r="AZU169" s="955"/>
      <c r="AZV169" s="1361"/>
      <c r="AZW169" s="1360"/>
      <c r="AZX169" s="1925"/>
      <c r="AZY169" s="955"/>
      <c r="AZZ169" s="963"/>
      <c r="BAA169" s="2242"/>
      <c r="BAB169" s="1360"/>
      <c r="BAC169" s="955"/>
      <c r="BAD169" s="1361"/>
      <c r="BAE169" s="1360"/>
      <c r="BAF169" s="1925"/>
      <c r="BAG169" s="955"/>
      <c r="BAH169" s="963"/>
      <c r="BAI169" s="2242"/>
      <c r="BAJ169" s="1360"/>
      <c r="BAK169" s="955"/>
      <c r="BAL169" s="1361"/>
      <c r="BAM169" s="1360"/>
      <c r="BAN169" s="1925"/>
      <c r="BAO169" s="955"/>
      <c r="BAP169" s="963"/>
      <c r="BAQ169" s="2242"/>
      <c r="BAR169" s="1360"/>
      <c r="BAS169" s="955"/>
      <c r="BAT169" s="1361"/>
      <c r="BAU169" s="1360"/>
      <c r="BAV169" s="1925"/>
      <c r="BAW169" s="955"/>
      <c r="BAX169" s="963"/>
      <c r="BAY169" s="2242"/>
      <c r="BAZ169" s="1360"/>
      <c r="BBA169" s="955"/>
      <c r="BBB169" s="1361"/>
      <c r="BBC169" s="1360"/>
      <c r="BBD169" s="1925"/>
      <c r="BBE169" s="955"/>
      <c r="BBF169" s="963"/>
      <c r="BBG169" s="2242"/>
      <c r="BBH169" s="1360"/>
      <c r="BBI169" s="955"/>
      <c r="BBJ169" s="1361"/>
      <c r="BBK169" s="1360"/>
      <c r="BBL169" s="1925"/>
      <c r="BBM169" s="955"/>
      <c r="BBN169" s="963"/>
      <c r="BBO169" s="2242"/>
      <c r="BBP169" s="1360"/>
      <c r="BBQ169" s="955"/>
      <c r="BBR169" s="1361"/>
      <c r="BBS169" s="1360"/>
      <c r="BBT169" s="1925"/>
      <c r="BBU169" s="955"/>
      <c r="BBV169" s="963"/>
      <c r="BBW169" s="2242"/>
      <c r="BBX169" s="1360"/>
      <c r="BBY169" s="955"/>
      <c r="BBZ169" s="1361"/>
      <c r="BCA169" s="1360"/>
      <c r="BCB169" s="1925"/>
      <c r="BCC169" s="955"/>
      <c r="BCD169" s="963"/>
      <c r="BCE169" s="2242"/>
      <c r="BCF169" s="1360"/>
      <c r="BCG169" s="955"/>
      <c r="BCH169" s="1361"/>
      <c r="BCI169" s="1360"/>
      <c r="BCJ169" s="1925"/>
      <c r="BCK169" s="955"/>
      <c r="BCL169" s="963"/>
      <c r="BCM169" s="2242"/>
      <c r="BCN169" s="1360"/>
      <c r="BCO169" s="955"/>
      <c r="BCP169" s="1361"/>
      <c r="BCQ169" s="1360"/>
      <c r="BCR169" s="1925"/>
      <c r="BCS169" s="955"/>
      <c r="BCT169" s="963"/>
      <c r="BCU169" s="2242"/>
      <c r="BCV169" s="1360"/>
      <c r="BCW169" s="955"/>
      <c r="BCX169" s="1361"/>
      <c r="BCY169" s="1360"/>
      <c r="BCZ169" s="1925"/>
      <c r="BDA169" s="955"/>
      <c r="BDB169" s="963"/>
      <c r="BDC169" s="2242"/>
      <c r="BDD169" s="1360"/>
      <c r="BDE169" s="955"/>
      <c r="BDF169" s="1361"/>
      <c r="BDG169" s="1360"/>
      <c r="BDH169" s="1925"/>
      <c r="BDI169" s="955"/>
      <c r="BDJ169" s="963"/>
      <c r="BDK169" s="2242"/>
      <c r="BDL169" s="1360"/>
      <c r="BDM169" s="955"/>
      <c r="BDN169" s="1361"/>
      <c r="BDO169" s="1360"/>
      <c r="BDP169" s="1925"/>
      <c r="BDQ169" s="955"/>
      <c r="BDR169" s="963"/>
      <c r="BDS169" s="2242"/>
      <c r="BDT169" s="1360"/>
      <c r="BDU169" s="955"/>
      <c r="BDV169" s="1361"/>
      <c r="BDW169" s="1360"/>
      <c r="BDX169" s="1925"/>
      <c r="BDY169" s="955"/>
      <c r="BDZ169" s="963"/>
      <c r="BEA169" s="2242"/>
      <c r="BEB169" s="1360"/>
      <c r="BEC169" s="955"/>
      <c r="BED169" s="1361"/>
      <c r="BEE169" s="1360"/>
      <c r="BEF169" s="1925"/>
      <c r="BEG169" s="955"/>
      <c r="BEH169" s="963"/>
      <c r="BEI169" s="2242"/>
      <c r="BEJ169" s="1360"/>
      <c r="BEK169" s="955"/>
      <c r="BEL169" s="1361"/>
      <c r="BEM169" s="1360"/>
      <c r="BEN169" s="1925"/>
      <c r="BEO169" s="955"/>
      <c r="BEP169" s="963"/>
      <c r="BEQ169" s="2242"/>
      <c r="BER169" s="1360"/>
      <c r="BES169" s="955"/>
      <c r="BET169" s="1361"/>
      <c r="BEU169" s="1360"/>
      <c r="BEV169" s="1925"/>
      <c r="BEW169" s="955"/>
      <c r="BEX169" s="963"/>
      <c r="BEY169" s="2242"/>
      <c r="BEZ169" s="1360"/>
      <c r="BFA169" s="955"/>
      <c r="BFB169" s="1361"/>
      <c r="BFC169" s="1360"/>
      <c r="BFD169" s="1925"/>
      <c r="BFE169" s="955"/>
      <c r="BFF169" s="963"/>
      <c r="BFG169" s="2242"/>
      <c r="BFH169" s="1360"/>
      <c r="BFI169" s="955"/>
      <c r="BFJ169" s="1361"/>
      <c r="BFK169" s="1360"/>
      <c r="BFL169" s="1925"/>
      <c r="BFM169" s="955"/>
      <c r="BFN169" s="963"/>
      <c r="BFO169" s="2242"/>
      <c r="BFP169" s="1360"/>
      <c r="BFQ169" s="955"/>
      <c r="BFR169" s="1361"/>
      <c r="BFS169" s="1360"/>
      <c r="BFT169" s="1925"/>
      <c r="BFU169" s="955"/>
      <c r="BFV169" s="963"/>
      <c r="BFW169" s="2242"/>
      <c r="BFX169" s="1360"/>
      <c r="BFY169" s="955"/>
      <c r="BFZ169" s="1361"/>
      <c r="BGA169" s="1360"/>
      <c r="BGB169" s="1925"/>
      <c r="BGC169" s="955"/>
      <c r="BGD169" s="963"/>
      <c r="BGE169" s="2242"/>
      <c r="BGF169" s="1360"/>
      <c r="BGG169" s="955"/>
      <c r="BGH169" s="1361"/>
      <c r="BGI169" s="1360"/>
      <c r="BGJ169" s="1925"/>
      <c r="BGK169" s="955"/>
      <c r="BGL169" s="963"/>
      <c r="BGM169" s="2242"/>
      <c r="BGN169" s="1360"/>
      <c r="BGO169" s="955"/>
      <c r="BGP169" s="1361"/>
      <c r="BGQ169" s="1360"/>
      <c r="BGR169" s="1925"/>
      <c r="BGS169" s="955"/>
      <c r="BGT169" s="963"/>
      <c r="BGU169" s="2242"/>
      <c r="BGV169" s="1360"/>
      <c r="BGW169" s="955"/>
      <c r="BGX169" s="1361"/>
      <c r="BGY169" s="1360"/>
      <c r="BGZ169" s="1925"/>
      <c r="BHA169" s="955"/>
      <c r="BHB169" s="963"/>
      <c r="BHC169" s="2242"/>
      <c r="BHD169" s="1360"/>
      <c r="BHE169" s="955"/>
      <c r="BHF169" s="1361"/>
      <c r="BHG169" s="1360"/>
      <c r="BHH169" s="1925"/>
      <c r="BHI169" s="955"/>
      <c r="BHJ169" s="963"/>
      <c r="BHK169" s="2242"/>
      <c r="BHL169" s="1360"/>
      <c r="BHM169" s="955"/>
      <c r="BHN169" s="1361"/>
      <c r="BHO169" s="1360"/>
      <c r="BHP169" s="1925"/>
      <c r="BHQ169" s="955"/>
      <c r="BHR169" s="963"/>
      <c r="BHS169" s="2242"/>
      <c r="BHT169" s="1360"/>
      <c r="BHU169" s="955"/>
      <c r="BHV169" s="1361"/>
      <c r="BHW169" s="1360"/>
      <c r="BHX169" s="1925"/>
      <c r="BHY169" s="955"/>
      <c r="BHZ169" s="963"/>
      <c r="BIA169" s="2242"/>
      <c r="BIB169" s="1360"/>
      <c r="BIC169" s="955"/>
      <c r="BID169" s="1361"/>
      <c r="BIE169" s="1360"/>
      <c r="BIF169" s="1925"/>
      <c r="BIG169" s="955"/>
      <c r="BIH169" s="963"/>
      <c r="BII169" s="2242"/>
      <c r="BIJ169" s="1360"/>
      <c r="BIK169" s="955"/>
      <c r="BIL169" s="1361"/>
      <c r="BIM169" s="1360"/>
      <c r="BIN169" s="1925"/>
      <c r="BIO169" s="955"/>
      <c r="BIP169" s="963"/>
      <c r="BIQ169" s="2242"/>
      <c r="BIR169" s="1360"/>
      <c r="BIS169" s="955"/>
      <c r="BIT169" s="1361"/>
      <c r="BIU169" s="1360"/>
      <c r="BIV169" s="1925"/>
      <c r="BIW169" s="955"/>
      <c r="BIX169" s="963"/>
      <c r="BIY169" s="2242"/>
      <c r="BIZ169" s="1360"/>
      <c r="BJA169" s="955"/>
      <c r="BJB169" s="1361"/>
      <c r="BJC169" s="1360"/>
      <c r="BJD169" s="1925"/>
      <c r="BJE169" s="955"/>
      <c r="BJF169" s="963"/>
      <c r="BJG169" s="2242"/>
      <c r="BJH169" s="1360"/>
      <c r="BJI169" s="955"/>
      <c r="BJJ169" s="1361"/>
      <c r="BJK169" s="1360"/>
      <c r="BJL169" s="1925"/>
      <c r="BJM169" s="955"/>
      <c r="BJN169" s="963"/>
      <c r="BJO169" s="2242"/>
      <c r="BJP169" s="1360"/>
      <c r="BJQ169" s="955"/>
      <c r="BJR169" s="1361"/>
      <c r="BJS169" s="1360"/>
      <c r="BJT169" s="1925"/>
      <c r="BJU169" s="955"/>
      <c r="BJV169" s="963"/>
      <c r="BJW169" s="2242"/>
      <c r="BJX169" s="1360"/>
      <c r="BJY169" s="955"/>
      <c r="BJZ169" s="1361"/>
      <c r="BKA169" s="1360"/>
      <c r="BKB169" s="1925"/>
      <c r="BKC169" s="955"/>
      <c r="BKD169" s="963"/>
      <c r="BKE169" s="2242"/>
      <c r="BKF169" s="1360"/>
      <c r="BKG169" s="955"/>
      <c r="BKH169" s="1361"/>
      <c r="BKI169" s="1360"/>
      <c r="BKJ169" s="1925"/>
      <c r="BKK169" s="955"/>
      <c r="BKL169" s="963"/>
      <c r="BKM169" s="2242"/>
      <c r="BKN169" s="1360"/>
      <c r="BKO169" s="955"/>
      <c r="BKP169" s="1361"/>
      <c r="BKQ169" s="1360"/>
      <c r="BKR169" s="1925"/>
      <c r="BKS169" s="955"/>
      <c r="BKT169" s="963"/>
      <c r="BKU169" s="2242"/>
      <c r="BKV169" s="1360"/>
      <c r="BKW169" s="955"/>
      <c r="BKX169" s="1361"/>
      <c r="BKY169" s="1360"/>
      <c r="BKZ169" s="1925"/>
      <c r="BLA169" s="955"/>
      <c r="BLB169" s="963"/>
      <c r="BLC169" s="2242"/>
      <c r="BLD169" s="1360"/>
      <c r="BLE169" s="955"/>
      <c r="BLF169" s="1361"/>
      <c r="BLG169" s="1360"/>
      <c r="BLH169" s="1925"/>
      <c r="BLI169" s="955"/>
      <c r="BLJ169" s="963"/>
      <c r="BLK169" s="2242"/>
      <c r="BLL169" s="1360"/>
      <c r="BLM169" s="955"/>
      <c r="BLN169" s="1361"/>
      <c r="BLO169" s="1360"/>
      <c r="BLP169" s="1925"/>
      <c r="BLQ169" s="955"/>
      <c r="BLR169" s="963"/>
      <c r="BLS169" s="2242"/>
      <c r="BLT169" s="1360"/>
      <c r="BLU169" s="955"/>
      <c r="BLV169" s="1361"/>
      <c r="BLW169" s="1360"/>
      <c r="BLX169" s="1925"/>
      <c r="BLY169" s="955"/>
      <c r="BLZ169" s="963"/>
      <c r="BMA169" s="2242"/>
      <c r="BMB169" s="1360"/>
      <c r="BMC169" s="955"/>
      <c r="BMD169" s="1361"/>
      <c r="BME169" s="1360"/>
      <c r="BMF169" s="1925"/>
      <c r="BMG169" s="955"/>
      <c r="BMH169" s="963"/>
      <c r="BMI169" s="2242"/>
      <c r="BMJ169" s="1360"/>
      <c r="BMK169" s="955"/>
      <c r="BML169" s="1361"/>
      <c r="BMM169" s="1360"/>
      <c r="BMN169" s="1925"/>
      <c r="BMO169" s="955"/>
      <c r="BMP169" s="963"/>
      <c r="BMQ169" s="2242"/>
      <c r="BMR169" s="1360"/>
      <c r="BMS169" s="955"/>
      <c r="BMT169" s="1361"/>
      <c r="BMU169" s="1360"/>
      <c r="BMV169" s="1925"/>
      <c r="BMW169" s="955"/>
      <c r="BMX169" s="963"/>
      <c r="BMY169" s="2242"/>
      <c r="BMZ169" s="1360"/>
      <c r="BNA169" s="955"/>
      <c r="BNB169" s="1361"/>
      <c r="BNC169" s="1360"/>
      <c r="BND169" s="1925"/>
      <c r="BNE169" s="955"/>
      <c r="BNF169" s="963"/>
      <c r="BNG169" s="2242"/>
      <c r="BNH169" s="1360"/>
      <c r="BNI169" s="955"/>
      <c r="BNJ169" s="1361"/>
      <c r="BNK169" s="1360"/>
      <c r="BNL169" s="1925"/>
      <c r="BNM169" s="955"/>
      <c r="BNN169" s="963"/>
      <c r="BNO169" s="2242"/>
      <c r="BNP169" s="1360"/>
      <c r="BNQ169" s="955"/>
      <c r="BNR169" s="1361"/>
      <c r="BNS169" s="1360"/>
      <c r="BNT169" s="1925"/>
      <c r="BNU169" s="955"/>
      <c r="BNV169" s="963"/>
      <c r="BNW169" s="2242"/>
      <c r="BNX169" s="1360"/>
      <c r="BNY169" s="955"/>
      <c r="BNZ169" s="1361"/>
      <c r="BOA169" s="1360"/>
      <c r="BOB169" s="1925"/>
      <c r="BOC169" s="955"/>
      <c r="BOD169" s="963"/>
      <c r="BOE169" s="2242"/>
      <c r="BOF169" s="1360"/>
      <c r="BOG169" s="955"/>
      <c r="BOH169" s="1361"/>
      <c r="BOI169" s="1360"/>
      <c r="BOJ169" s="1925"/>
      <c r="BOK169" s="955"/>
      <c r="BOL169" s="963"/>
      <c r="BOM169" s="2242"/>
      <c r="BON169" s="1360"/>
      <c r="BOO169" s="955"/>
      <c r="BOP169" s="1361"/>
      <c r="BOQ169" s="1360"/>
      <c r="BOR169" s="1925"/>
      <c r="BOS169" s="955"/>
      <c r="BOT169" s="963"/>
      <c r="BOU169" s="2242"/>
      <c r="BOV169" s="1360"/>
      <c r="BOW169" s="955"/>
      <c r="BOX169" s="1361"/>
      <c r="BOY169" s="1360"/>
      <c r="BOZ169" s="1925"/>
      <c r="BPA169" s="955"/>
      <c r="BPB169" s="963"/>
      <c r="BPC169" s="2242"/>
      <c r="BPD169" s="1360"/>
      <c r="BPE169" s="955"/>
      <c r="BPF169" s="1361"/>
      <c r="BPG169" s="1360"/>
      <c r="BPH169" s="1925"/>
      <c r="BPI169" s="955"/>
      <c r="BPJ169" s="963"/>
      <c r="BPK169" s="2242"/>
      <c r="BPL169" s="1360"/>
      <c r="BPM169" s="955"/>
      <c r="BPN169" s="1361"/>
      <c r="BPO169" s="1360"/>
      <c r="BPP169" s="1925"/>
      <c r="BPQ169" s="955"/>
      <c r="BPR169" s="963"/>
      <c r="BPS169" s="2242"/>
      <c r="BPT169" s="1360"/>
      <c r="BPU169" s="955"/>
      <c r="BPV169" s="1361"/>
      <c r="BPW169" s="1360"/>
      <c r="BPX169" s="1925"/>
      <c r="BPY169" s="955"/>
      <c r="BPZ169" s="963"/>
      <c r="BQA169" s="2242"/>
      <c r="BQB169" s="1360"/>
      <c r="BQC169" s="955"/>
      <c r="BQD169" s="1361"/>
      <c r="BQE169" s="1360"/>
      <c r="BQF169" s="1925"/>
      <c r="BQG169" s="955"/>
      <c r="BQH169" s="963"/>
      <c r="BQI169" s="2242"/>
      <c r="BQJ169" s="1360"/>
      <c r="BQK169" s="955"/>
      <c r="BQL169" s="1361"/>
      <c r="BQM169" s="1360"/>
      <c r="BQN169" s="1925"/>
      <c r="BQO169" s="955"/>
      <c r="BQP169" s="963"/>
      <c r="BQQ169" s="2242"/>
      <c r="BQR169" s="1360"/>
      <c r="BQS169" s="955"/>
      <c r="BQT169" s="1361"/>
      <c r="BQU169" s="1360"/>
      <c r="BQV169" s="1925"/>
      <c r="BQW169" s="955"/>
      <c r="BQX169" s="963"/>
      <c r="BQY169" s="2242"/>
      <c r="BQZ169" s="1360"/>
      <c r="BRA169" s="955"/>
      <c r="BRB169" s="1361"/>
      <c r="BRC169" s="1360"/>
      <c r="BRD169" s="1925"/>
      <c r="BRE169" s="955"/>
      <c r="BRF169" s="963"/>
      <c r="BRG169" s="2242"/>
      <c r="BRH169" s="1360"/>
      <c r="BRI169" s="955"/>
      <c r="BRJ169" s="1361"/>
      <c r="BRK169" s="1360"/>
      <c r="BRL169" s="1925"/>
      <c r="BRM169" s="955"/>
      <c r="BRN169" s="963"/>
      <c r="BRO169" s="2242"/>
      <c r="BRP169" s="1360"/>
      <c r="BRQ169" s="955"/>
      <c r="BRR169" s="1361"/>
      <c r="BRS169" s="1360"/>
      <c r="BRT169" s="1925"/>
      <c r="BRU169" s="955"/>
      <c r="BRV169" s="963"/>
      <c r="BRW169" s="2242"/>
      <c r="BRX169" s="1360"/>
      <c r="BRY169" s="955"/>
      <c r="BRZ169" s="1361"/>
      <c r="BSA169" s="1360"/>
      <c r="BSB169" s="1925"/>
      <c r="BSC169" s="955"/>
      <c r="BSD169" s="963"/>
      <c r="BSE169" s="2242"/>
      <c r="BSF169" s="1360"/>
      <c r="BSG169" s="955"/>
      <c r="BSH169" s="1361"/>
      <c r="BSI169" s="1360"/>
      <c r="BSJ169" s="1925"/>
      <c r="BSK169" s="955"/>
      <c r="BSL169" s="963"/>
      <c r="BSM169" s="2242"/>
      <c r="BSN169" s="1360"/>
      <c r="BSO169" s="955"/>
      <c r="BSP169" s="1361"/>
      <c r="BSQ169" s="1360"/>
      <c r="BSR169" s="1925"/>
      <c r="BSS169" s="955"/>
      <c r="BST169" s="963"/>
      <c r="BSU169" s="2242"/>
      <c r="BSV169" s="1360"/>
      <c r="BSW169" s="955"/>
      <c r="BSX169" s="1361"/>
      <c r="BSY169" s="1360"/>
      <c r="BSZ169" s="1925"/>
      <c r="BTA169" s="955"/>
      <c r="BTB169" s="963"/>
      <c r="BTC169" s="2242"/>
      <c r="BTD169" s="1360"/>
      <c r="BTE169" s="955"/>
      <c r="BTF169" s="1361"/>
      <c r="BTG169" s="1360"/>
      <c r="BTH169" s="1925"/>
      <c r="BTI169" s="955"/>
      <c r="BTJ169" s="963"/>
      <c r="BTK169" s="2242"/>
      <c r="BTL169" s="1360"/>
      <c r="BTM169" s="955"/>
      <c r="BTN169" s="1361"/>
      <c r="BTO169" s="1360"/>
      <c r="BTP169" s="1925"/>
      <c r="BTQ169" s="955"/>
      <c r="BTR169" s="963"/>
      <c r="BTS169" s="2242"/>
      <c r="BTT169" s="1360"/>
      <c r="BTU169" s="955"/>
      <c r="BTV169" s="1361"/>
      <c r="BTW169" s="1360"/>
      <c r="BTX169" s="1925"/>
      <c r="BTY169" s="955"/>
      <c r="BTZ169" s="963"/>
      <c r="BUA169" s="2242"/>
      <c r="BUB169" s="1360"/>
      <c r="BUC169" s="955"/>
      <c r="BUD169" s="1361"/>
      <c r="BUE169" s="1360"/>
      <c r="BUF169" s="1925"/>
      <c r="BUG169" s="955"/>
      <c r="BUH169" s="963"/>
      <c r="BUI169" s="2242"/>
      <c r="BUJ169" s="1360"/>
      <c r="BUK169" s="955"/>
      <c r="BUL169" s="1361"/>
      <c r="BUM169" s="1360"/>
      <c r="BUN169" s="1925"/>
      <c r="BUO169" s="955"/>
      <c r="BUP169" s="963"/>
      <c r="BUQ169" s="2242"/>
      <c r="BUR169" s="1360"/>
      <c r="BUS169" s="955"/>
      <c r="BUT169" s="1361"/>
      <c r="BUU169" s="1360"/>
      <c r="BUV169" s="1925"/>
      <c r="BUW169" s="955"/>
      <c r="BUX169" s="963"/>
      <c r="BUY169" s="2242"/>
      <c r="BUZ169" s="1360"/>
      <c r="BVA169" s="955"/>
      <c r="BVB169" s="1361"/>
      <c r="BVC169" s="1360"/>
      <c r="BVD169" s="1925"/>
      <c r="BVE169" s="955"/>
      <c r="BVF169" s="963"/>
      <c r="BVG169" s="2242"/>
      <c r="BVH169" s="1360"/>
      <c r="BVI169" s="955"/>
      <c r="BVJ169" s="1361"/>
      <c r="BVK169" s="1360"/>
      <c r="BVL169" s="1925"/>
      <c r="BVM169" s="955"/>
      <c r="BVN169" s="963"/>
      <c r="BVO169" s="2242"/>
      <c r="BVP169" s="1360"/>
      <c r="BVQ169" s="955"/>
      <c r="BVR169" s="1361"/>
      <c r="BVS169" s="1360"/>
      <c r="BVT169" s="1925"/>
      <c r="BVU169" s="955"/>
      <c r="BVV169" s="963"/>
      <c r="BVW169" s="2242"/>
      <c r="BVX169" s="1360"/>
      <c r="BVY169" s="955"/>
      <c r="BVZ169" s="1361"/>
      <c r="BWA169" s="1360"/>
      <c r="BWB169" s="1925"/>
      <c r="BWC169" s="955"/>
      <c r="BWD169" s="963"/>
      <c r="BWE169" s="2242"/>
      <c r="BWF169" s="1360"/>
      <c r="BWG169" s="955"/>
      <c r="BWH169" s="1361"/>
      <c r="BWI169" s="1360"/>
      <c r="BWJ169" s="1925"/>
      <c r="BWK169" s="955"/>
      <c r="BWL169" s="963"/>
      <c r="BWM169" s="2242"/>
      <c r="BWN169" s="1360"/>
      <c r="BWO169" s="955"/>
      <c r="BWP169" s="1361"/>
      <c r="BWQ169" s="1360"/>
      <c r="BWR169" s="1925"/>
      <c r="BWS169" s="955"/>
      <c r="BWT169" s="963"/>
      <c r="BWU169" s="2242"/>
      <c r="BWV169" s="1360"/>
      <c r="BWW169" s="955"/>
      <c r="BWX169" s="1361"/>
      <c r="BWY169" s="1360"/>
      <c r="BWZ169" s="1925"/>
      <c r="BXA169" s="955"/>
      <c r="BXB169" s="963"/>
      <c r="BXC169" s="2242"/>
      <c r="BXD169" s="1360"/>
      <c r="BXE169" s="955"/>
      <c r="BXF169" s="1361"/>
      <c r="BXG169" s="1360"/>
      <c r="BXH169" s="1925"/>
      <c r="BXI169" s="955"/>
      <c r="BXJ169" s="963"/>
      <c r="BXK169" s="2242"/>
      <c r="BXL169" s="1360"/>
      <c r="BXM169" s="955"/>
      <c r="BXN169" s="1361"/>
      <c r="BXO169" s="1360"/>
      <c r="BXP169" s="1925"/>
      <c r="BXQ169" s="955"/>
      <c r="BXR169" s="963"/>
      <c r="BXS169" s="2242"/>
      <c r="BXT169" s="1360"/>
      <c r="BXU169" s="955"/>
      <c r="BXV169" s="1361"/>
      <c r="BXW169" s="1360"/>
      <c r="BXX169" s="1925"/>
      <c r="BXY169" s="955"/>
      <c r="BXZ169" s="963"/>
      <c r="BYA169" s="2242"/>
      <c r="BYB169" s="1360"/>
      <c r="BYC169" s="955"/>
      <c r="BYD169" s="1361"/>
      <c r="BYE169" s="1360"/>
      <c r="BYF169" s="1925"/>
      <c r="BYG169" s="955"/>
      <c r="BYH169" s="963"/>
      <c r="BYI169" s="2242"/>
      <c r="BYJ169" s="1360"/>
      <c r="BYK169" s="955"/>
      <c r="BYL169" s="1361"/>
      <c r="BYM169" s="1360"/>
      <c r="BYN169" s="1925"/>
      <c r="BYO169" s="955"/>
      <c r="BYP169" s="963"/>
      <c r="BYQ169" s="2242"/>
      <c r="BYR169" s="1360"/>
      <c r="BYS169" s="955"/>
      <c r="BYT169" s="1361"/>
      <c r="BYU169" s="1360"/>
      <c r="BYV169" s="1925"/>
      <c r="BYW169" s="955"/>
      <c r="BYX169" s="963"/>
      <c r="BYY169" s="2242"/>
      <c r="BYZ169" s="1360"/>
      <c r="BZA169" s="955"/>
      <c r="BZB169" s="1361"/>
      <c r="BZC169" s="1360"/>
      <c r="BZD169" s="1925"/>
      <c r="BZE169" s="955"/>
      <c r="BZF169" s="963"/>
      <c r="BZG169" s="2242"/>
      <c r="BZH169" s="1360"/>
      <c r="BZI169" s="955"/>
      <c r="BZJ169" s="1361"/>
      <c r="BZK169" s="1360"/>
      <c r="BZL169" s="1925"/>
      <c r="BZM169" s="955"/>
      <c r="BZN169" s="963"/>
      <c r="BZO169" s="2242"/>
      <c r="BZP169" s="1360"/>
      <c r="BZQ169" s="955"/>
      <c r="BZR169" s="1361"/>
      <c r="BZS169" s="1360"/>
      <c r="BZT169" s="1925"/>
      <c r="BZU169" s="955"/>
      <c r="BZV169" s="963"/>
      <c r="BZW169" s="2242"/>
      <c r="BZX169" s="1360"/>
      <c r="BZY169" s="955"/>
      <c r="BZZ169" s="1361"/>
      <c r="CAA169" s="1360"/>
      <c r="CAB169" s="1925"/>
      <c r="CAC169" s="955"/>
      <c r="CAD169" s="963"/>
      <c r="CAE169" s="2242"/>
      <c r="CAF169" s="1360"/>
      <c r="CAG169" s="955"/>
      <c r="CAH169" s="1361"/>
      <c r="CAI169" s="1360"/>
      <c r="CAJ169" s="1925"/>
      <c r="CAK169" s="955"/>
      <c r="CAL169" s="963"/>
      <c r="CAM169" s="2242"/>
      <c r="CAN169" s="1360"/>
      <c r="CAO169" s="955"/>
      <c r="CAP169" s="1361"/>
      <c r="CAQ169" s="1360"/>
      <c r="CAR169" s="1925"/>
      <c r="CAS169" s="955"/>
      <c r="CAT169" s="963"/>
      <c r="CAU169" s="2242"/>
      <c r="CAV169" s="1360"/>
      <c r="CAW169" s="955"/>
      <c r="CAX169" s="1361"/>
      <c r="CAY169" s="1360"/>
      <c r="CAZ169" s="1925"/>
      <c r="CBA169" s="955"/>
      <c r="CBB169" s="963"/>
      <c r="CBC169" s="2242"/>
      <c r="CBD169" s="1360"/>
      <c r="CBE169" s="955"/>
      <c r="CBF169" s="1361"/>
      <c r="CBG169" s="1360"/>
      <c r="CBH169" s="1925"/>
      <c r="CBI169" s="955"/>
      <c r="CBJ169" s="963"/>
      <c r="CBK169" s="2242"/>
      <c r="CBL169" s="1360"/>
      <c r="CBM169" s="955"/>
      <c r="CBN169" s="1361"/>
      <c r="CBO169" s="1360"/>
      <c r="CBP169" s="1925"/>
      <c r="CBQ169" s="955"/>
      <c r="CBR169" s="963"/>
      <c r="CBS169" s="2242"/>
      <c r="CBT169" s="1360"/>
      <c r="CBU169" s="955"/>
      <c r="CBV169" s="1361"/>
      <c r="CBW169" s="1360"/>
      <c r="CBX169" s="1925"/>
      <c r="CBY169" s="955"/>
      <c r="CBZ169" s="963"/>
      <c r="CCA169" s="2242"/>
      <c r="CCB169" s="1360"/>
      <c r="CCC169" s="955"/>
      <c r="CCD169" s="1361"/>
      <c r="CCE169" s="1360"/>
      <c r="CCF169" s="1925"/>
      <c r="CCG169" s="955"/>
      <c r="CCH169" s="963"/>
      <c r="CCI169" s="2242"/>
      <c r="CCJ169" s="1360"/>
      <c r="CCK169" s="955"/>
      <c r="CCL169" s="1361"/>
      <c r="CCM169" s="1360"/>
      <c r="CCN169" s="1925"/>
      <c r="CCO169" s="955"/>
      <c r="CCP169" s="963"/>
      <c r="CCQ169" s="2242"/>
      <c r="CCR169" s="1360"/>
      <c r="CCS169" s="955"/>
      <c r="CCT169" s="1361"/>
      <c r="CCU169" s="1360"/>
      <c r="CCV169" s="1925"/>
      <c r="CCW169" s="955"/>
      <c r="CCX169" s="963"/>
      <c r="CCY169" s="2242"/>
      <c r="CCZ169" s="1360"/>
      <c r="CDA169" s="955"/>
      <c r="CDB169" s="1361"/>
      <c r="CDC169" s="1360"/>
      <c r="CDD169" s="1925"/>
      <c r="CDE169" s="955"/>
      <c r="CDF169" s="963"/>
      <c r="CDG169" s="2242"/>
      <c r="CDH169" s="1360"/>
      <c r="CDI169" s="955"/>
      <c r="CDJ169" s="1361"/>
      <c r="CDK169" s="1360"/>
      <c r="CDL169" s="1925"/>
      <c r="CDM169" s="955"/>
      <c r="CDN169" s="963"/>
      <c r="CDO169" s="2242"/>
      <c r="CDP169" s="1360"/>
      <c r="CDQ169" s="955"/>
      <c r="CDR169" s="1361"/>
      <c r="CDS169" s="1360"/>
      <c r="CDT169" s="1925"/>
      <c r="CDU169" s="955"/>
      <c r="CDV169" s="963"/>
      <c r="CDW169" s="2242"/>
      <c r="CDX169" s="1360"/>
      <c r="CDY169" s="955"/>
      <c r="CDZ169" s="1361"/>
      <c r="CEA169" s="1360"/>
      <c r="CEB169" s="1925"/>
      <c r="CEC169" s="955"/>
      <c r="CED169" s="963"/>
      <c r="CEE169" s="2242"/>
      <c r="CEF169" s="1360"/>
      <c r="CEG169" s="955"/>
      <c r="CEH169" s="1361"/>
      <c r="CEI169" s="1360"/>
      <c r="CEJ169" s="1925"/>
      <c r="CEK169" s="955"/>
      <c r="CEL169" s="963"/>
      <c r="CEM169" s="2242"/>
      <c r="CEN169" s="1360"/>
      <c r="CEO169" s="955"/>
      <c r="CEP169" s="1361"/>
      <c r="CEQ169" s="1360"/>
      <c r="CER169" s="1925"/>
      <c r="CES169" s="955"/>
      <c r="CET169" s="963"/>
      <c r="CEU169" s="2242"/>
      <c r="CEV169" s="1360"/>
      <c r="CEW169" s="955"/>
      <c r="CEX169" s="1361"/>
      <c r="CEY169" s="1360"/>
      <c r="CEZ169" s="1925"/>
      <c r="CFA169" s="955"/>
      <c r="CFB169" s="963"/>
      <c r="CFC169" s="2242"/>
      <c r="CFD169" s="1360"/>
      <c r="CFE169" s="955"/>
      <c r="CFF169" s="1361"/>
      <c r="CFG169" s="1360"/>
      <c r="CFH169" s="1925"/>
      <c r="CFI169" s="955"/>
      <c r="CFJ169" s="963"/>
      <c r="CFK169" s="2242"/>
      <c r="CFL169" s="1360"/>
      <c r="CFM169" s="955"/>
      <c r="CFN169" s="1361"/>
      <c r="CFO169" s="1360"/>
      <c r="CFP169" s="1925"/>
      <c r="CFQ169" s="955"/>
      <c r="CFR169" s="963"/>
      <c r="CFS169" s="2242"/>
      <c r="CFT169" s="1360"/>
      <c r="CFU169" s="955"/>
      <c r="CFV169" s="1361"/>
      <c r="CFW169" s="1360"/>
      <c r="CFX169" s="1925"/>
      <c r="CFY169" s="955"/>
      <c r="CFZ169" s="963"/>
      <c r="CGA169" s="2242"/>
      <c r="CGB169" s="1360"/>
      <c r="CGC169" s="955"/>
      <c r="CGD169" s="1361"/>
      <c r="CGE169" s="1360"/>
      <c r="CGF169" s="1925"/>
      <c r="CGG169" s="955"/>
      <c r="CGH169" s="963"/>
      <c r="CGI169" s="2242"/>
      <c r="CGJ169" s="1360"/>
      <c r="CGK169" s="955"/>
      <c r="CGL169" s="1361"/>
      <c r="CGM169" s="1360"/>
      <c r="CGN169" s="1925"/>
      <c r="CGO169" s="955"/>
      <c r="CGP169" s="963"/>
      <c r="CGQ169" s="2242"/>
      <c r="CGR169" s="1360"/>
      <c r="CGS169" s="955"/>
      <c r="CGT169" s="1361"/>
      <c r="CGU169" s="1360"/>
      <c r="CGV169" s="1925"/>
      <c r="CGW169" s="955"/>
      <c r="CGX169" s="963"/>
      <c r="CGY169" s="2242"/>
      <c r="CGZ169" s="1360"/>
      <c r="CHA169" s="955"/>
      <c r="CHB169" s="1361"/>
      <c r="CHC169" s="1360"/>
      <c r="CHD169" s="1925"/>
      <c r="CHE169" s="955"/>
      <c r="CHF169" s="963"/>
      <c r="CHG169" s="2242"/>
      <c r="CHH169" s="1360"/>
      <c r="CHI169" s="955"/>
      <c r="CHJ169" s="1361"/>
      <c r="CHK169" s="1360"/>
      <c r="CHL169" s="1925"/>
      <c r="CHM169" s="955"/>
      <c r="CHN169" s="963"/>
      <c r="CHO169" s="2242"/>
      <c r="CHP169" s="1360"/>
      <c r="CHQ169" s="955"/>
      <c r="CHR169" s="1361"/>
      <c r="CHS169" s="1360"/>
      <c r="CHT169" s="1925"/>
      <c r="CHU169" s="955"/>
      <c r="CHV169" s="963"/>
      <c r="CHW169" s="2242"/>
      <c r="CHX169" s="1360"/>
      <c r="CHY169" s="955"/>
      <c r="CHZ169" s="1361"/>
      <c r="CIA169" s="1360"/>
      <c r="CIB169" s="1925"/>
      <c r="CIC169" s="955"/>
      <c r="CID169" s="963"/>
      <c r="CIE169" s="2242"/>
      <c r="CIF169" s="1360"/>
      <c r="CIG169" s="955"/>
      <c r="CIH169" s="1361"/>
      <c r="CII169" s="1360"/>
      <c r="CIJ169" s="1925"/>
      <c r="CIK169" s="955"/>
      <c r="CIL169" s="963"/>
      <c r="CIM169" s="2242"/>
      <c r="CIN169" s="1360"/>
      <c r="CIO169" s="955"/>
      <c r="CIP169" s="1361"/>
      <c r="CIQ169" s="1360"/>
      <c r="CIR169" s="1925"/>
      <c r="CIS169" s="955"/>
      <c r="CIT169" s="963"/>
      <c r="CIU169" s="2242"/>
      <c r="CIV169" s="1360"/>
      <c r="CIW169" s="955"/>
      <c r="CIX169" s="1361"/>
      <c r="CIY169" s="1360"/>
      <c r="CIZ169" s="1925"/>
      <c r="CJA169" s="955"/>
      <c r="CJB169" s="963"/>
      <c r="CJC169" s="2242"/>
      <c r="CJD169" s="1360"/>
      <c r="CJE169" s="955"/>
      <c r="CJF169" s="1361"/>
      <c r="CJG169" s="1360"/>
      <c r="CJH169" s="1925"/>
      <c r="CJI169" s="955"/>
      <c r="CJJ169" s="963"/>
      <c r="CJK169" s="2242"/>
      <c r="CJL169" s="1360"/>
      <c r="CJM169" s="955"/>
      <c r="CJN169" s="1361"/>
      <c r="CJO169" s="1360"/>
      <c r="CJP169" s="1925"/>
      <c r="CJQ169" s="955"/>
      <c r="CJR169" s="963"/>
      <c r="CJS169" s="2242"/>
      <c r="CJT169" s="1360"/>
      <c r="CJU169" s="955"/>
      <c r="CJV169" s="1361"/>
      <c r="CJW169" s="1360"/>
      <c r="CJX169" s="1925"/>
      <c r="CJY169" s="955"/>
      <c r="CJZ169" s="963"/>
      <c r="CKA169" s="2242"/>
      <c r="CKB169" s="1360"/>
      <c r="CKC169" s="955"/>
      <c r="CKD169" s="1361"/>
      <c r="CKE169" s="1360"/>
      <c r="CKF169" s="1925"/>
      <c r="CKG169" s="955"/>
      <c r="CKH169" s="963"/>
      <c r="CKI169" s="2242"/>
      <c r="CKJ169" s="1360"/>
      <c r="CKK169" s="955"/>
      <c r="CKL169" s="1361"/>
      <c r="CKM169" s="1360"/>
      <c r="CKN169" s="1925"/>
      <c r="CKO169" s="955"/>
      <c r="CKP169" s="963"/>
      <c r="CKQ169" s="2242"/>
      <c r="CKR169" s="1360"/>
      <c r="CKS169" s="955"/>
      <c r="CKT169" s="1361"/>
      <c r="CKU169" s="1360"/>
      <c r="CKV169" s="1925"/>
      <c r="CKW169" s="955"/>
      <c r="CKX169" s="963"/>
      <c r="CKY169" s="2242"/>
      <c r="CKZ169" s="1360"/>
      <c r="CLA169" s="955"/>
      <c r="CLB169" s="1361"/>
      <c r="CLC169" s="1360"/>
      <c r="CLD169" s="1925"/>
      <c r="CLE169" s="955"/>
      <c r="CLF169" s="963"/>
      <c r="CLG169" s="2242"/>
      <c r="CLH169" s="1360"/>
      <c r="CLI169" s="955"/>
      <c r="CLJ169" s="1361"/>
      <c r="CLK169" s="1360"/>
      <c r="CLL169" s="1925"/>
      <c r="CLM169" s="955"/>
      <c r="CLN169" s="963"/>
      <c r="CLO169" s="2242"/>
      <c r="CLP169" s="1360"/>
      <c r="CLQ169" s="955"/>
      <c r="CLR169" s="1361"/>
      <c r="CLS169" s="1360"/>
      <c r="CLT169" s="1925"/>
      <c r="CLU169" s="955"/>
      <c r="CLV169" s="963"/>
      <c r="CLW169" s="2242"/>
      <c r="CLX169" s="1360"/>
      <c r="CLY169" s="955"/>
      <c r="CLZ169" s="1361"/>
      <c r="CMA169" s="1360"/>
      <c r="CMB169" s="1925"/>
      <c r="CMC169" s="955"/>
      <c r="CMD169" s="963"/>
      <c r="CME169" s="2242"/>
      <c r="CMF169" s="1360"/>
      <c r="CMG169" s="955"/>
      <c r="CMH169" s="1361"/>
      <c r="CMI169" s="1360"/>
      <c r="CMJ169" s="1925"/>
      <c r="CMK169" s="955"/>
      <c r="CML169" s="963"/>
      <c r="CMM169" s="2242"/>
      <c r="CMN169" s="1360"/>
      <c r="CMO169" s="955"/>
      <c r="CMP169" s="1361"/>
      <c r="CMQ169" s="1360"/>
      <c r="CMR169" s="1925"/>
      <c r="CMS169" s="955"/>
      <c r="CMT169" s="963"/>
      <c r="CMU169" s="2242"/>
      <c r="CMV169" s="1360"/>
      <c r="CMW169" s="955"/>
      <c r="CMX169" s="1361"/>
      <c r="CMY169" s="1360"/>
      <c r="CMZ169" s="1925"/>
      <c r="CNA169" s="955"/>
      <c r="CNB169" s="963"/>
      <c r="CNC169" s="2242"/>
      <c r="CND169" s="1360"/>
      <c r="CNE169" s="955"/>
      <c r="CNF169" s="1361"/>
      <c r="CNG169" s="1360"/>
      <c r="CNH169" s="1925"/>
      <c r="CNI169" s="955"/>
      <c r="CNJ169" s="963"/>
      <c r="CNK169" s="2242"/>
      <c r="CNL169" s="1360"/>
      <c r="CNM169" s="955"/>
      <c r="CNN169" s="1361"/>
      <c r="CNO169" s="1360"/>
      <c r="CNP169" s="1925"/>
      <c r="CNQ169" s="955"/>
      <c r="CNR169" s="963"/>
      <c r="CNS169" s="2242"/>
      <c r="CNT169" s="1360"/>
      <c r="CNU169" s="955"/>
      <c r="CNV169" s="1361"/>
      <c r="CNW169" s="1360"/>
      <c r="CNX169" s="1925"/>
      <c r="CNY169" s="955"/>
      <c r="CNZ169" s="963"/>
      <c r="COA169" s="2242"/>
      <c r="COB169" s="1360"/>
      <c r="COC169" s="955"/>
      <c r="COD169" s="1361"/>
      <c r="COE169" s="1360"/>
      <c r="COF169" s="1925"/>
      <c r="COG169" s="955"/>
      <c r="COH169" s="963"/>
      <c r="COI169" s="2242"/>
      <c r="COJ169" s="1360"/>
      <c r="COK169" s="955"/>
      <c r="COL169" s="1361"/>
      <c r="COM169" s="1360"/>
      <c r="CON169" s="1925"/>
      <c r="COO169" s="955"/>
      <c r="COP169" s="963"/>
      <c r="COQ169" s="2242"/>
      <c r="COR169" s="1360"/>
      <c r="COS169" s="955"/>
      <c r="COT169" s="1361"/>
      <c r="COU169" s="1360"/>
      <c r="COV169" s="1925"/>
      <c r="COW169" s="955"/>
      <c r="COX169" s="963"/>
      <c r="COY169" s="2242"/>
      <c r="COZ169" s="1360"/>
      <c r="CPA169" s="955"/>
      <c r="CPB169" s="1361"/>
      <c r="CPC169" s="1360"/>
      <c r="CPD169" s="1925"/>
      <c r="CPE169" s="955"/>
      <c r="CPF169" s="963"/>
      <c r="CPG169" s="2242"/>
      <c r="CPH169" s="1360"/>
      <c r="CPI169" s="955"/>
      <c r="CPJ169" s="1361"/>
      <c r="CPK169" s="1360"/>
      <c r="CPL169" s="1925"/>
      <c r="CPM169" s="955"/>
      <c r="CPN169" s="963"/>
      <c r="CPO169" s="2242"/>
      <c r="CPP169" s="1360"/>
      <c r="CPQ169" s="955"/>
      <c r="CPR169" s="1361"/>
      <c r="CPS169" s="1360"/>
      <c r="CPT169" s="1925"/>
      <c r="CPU169" s="955"/>
      <c r="CPV169" s="963"/>
      <c r="CPW169" s="2242"/>
      <c r="CPX169" s="1360"/>
      <c r="CPY169" s="955"/>
      <c r="CPZ169" s="1361"/>
      <c r="CQA169" s="1360"/>
      <c r="CQB169" s="1925"/>
      <c r="CQC169" s="955"/>
      <c r="CQD169" s="963"/>
      <c r="CQE169" s="2242"/>
      <c r="CQF169" s="1360"/>
      <c r="CQG169" s="955"/>
      <c r="CQH169" s="1361"/>
      <c r="CQI169" s="1360"/>
      <c r="CQJ169" s="1925"/>
      <c r="CQK169" s="955"/>
      <c r="CQL169" s="963"/>
      <c r="CQM169" s="2242"/>
      <c r="CQN169" s="1360"/>
      <c r="CQO169" s="955"/>
      <c r="CQP169" s="1361"/>
      <c r="CQQ169" s="1360"/>
      <c r="CQR169" s="1925"/>
      <c r="CQS169" s="955"/>
      <c r="CQT169" s="963"/>
      <c r="CQU169" s="2242"/>
      <c r="CQV169" s="1360"/>
      <c r="CQW169" s="955"/>
      <c r="CQX169" s="1361"/>
      <c r="CQY169" s="1360"/>
      <c r="CQZ169" s="1925"/>
      <c r="CRA169" s="955"/>
      <c r="CRB169" s="963"/>
      <c r="CRC169" s="2242"/>
      <c r="CRD169" s="1360"/>
      <c r="CRE169" s="955"/>
      <c r="CRF169" s="1361"/>
      <c r="CRG169" s="1360"/>
      <c r="CRH169" s="1925"/>
      <c r="CRI169" s="955"/>
      <c r="CRJ169" s="963"/>
      <c r="CRK169" s="2242"/>
      <c r="CRL169" s="1360"/>
      <c r="CRM169" s="955"/>
      <c r="CRN169" s="1361"/>
      <c r="CRO169" s="1360"/>
      <c r="CRP169" s="1925"/>
      <c r="CRQ169" s="955"/>
      <c r="CRR169" s="963"/>
      <c r="CRS169" s="2242"/>
      <c r="CRT169" s="1360"/>
      <c r="CRU169" s="955"/>
      <c r="CRV169" s="1361"/>
      <c r="CRW169" s="1360"/>
      <c r="CRX169" s="1925"/>
      <c r="CRY169" s="955"/>
      <c r="CRZ169" s="963"/>
      <c r="CSA169" s="2242"/>
      <c r="CSB169" s="1360"/>
      <c r="CSC169" s="955"/>
      <c r="CSD169" s="1361"/>
      <c r="CSE169" s="1360"/>
      <c r="CSF169" s="1925"/>
      <c r="CSG169" s="955"/>
      <c r="CSH169" s="963"/>
      <c r="CSI169" s="2242"/>
      <c r="CSJ169" s="1360"/>
      <c r="CSK169" s="955"/>
      <c r="CSL169" s="1361"/>
      <c r="CSM169" s="1360"/>
      <c r="CSN169" s="1925"/>
      <c r="CSO169" s="955"/>
      <c r="CSP169" s="963"/>
      <c r="CSQ169" s="2242"/>
      <c r="CSR169" s="1360"/>
      <c r="CSS169" s="955"/>
      <c r="CST169" s="1361"/>
      <c r="CSU169" s="1360"/>
      <c r="CSV169" s="1925"/>
      <c r="CSW169" s="955"/>
      <c r="CSX169" s="963"/>
      <c r="CSY169" s="2242"/>
      <c r="CSZ169" s="1360"/>
      <c r="CTA169" s="955"/>
      <c r="CTB169" s="1361"/>
      <c r="CTC169" s="1360"/>
      <c r="CTD169" s="1925"/>
      <c r="CTE169" s="955"/>
      <c r="CTF169" s="963"/>
      <c r="CTG169" s="2242"/>
      <c r="CTH169" s="1360"/>
      <c r="CTI169" s="955"/>
      <c r="CTJ169" s="1361"/>
      <c r="CTK169" s="1360"/>
      <c r="CTL169" s="1925"/>
      <c r="CTM169" s="955"/>
      <c r="CTN169" s="963"/>
      <c r="CTO169" s="2242"/>
      <c r="CTP169" s="1360"/>
      <c r="CTQ169" s="955"/>
      <c r="CTR169" s="1361"/>
      <c r="CTS169" s="1360"/>
      <c r="CTT169" s="1925"/>
      <c r="CTU169" s="955"/>
      <c r="CTV169" s="963"/>
      <c r="CTW169" s="2242"/>
      <c r="CTX169" s="1360"/>
      <c r="CTY169" s="955"/>
      <c r="CTZ169" s="1361"/>
      <c r="CUA169" s="1360"/>
      <c r="CUB169" s="1925"/>
      <c r="CUC169" s="955"/>
      <c r="CUD169" s="963"/>
      <c r="CUE169" s="2242"/>
      <c r="CUF169" s="1360"/>
      <c r="CUG169" s="955"/>
      <c r="CUH169" s="1361"/>
      <c r="CUI169" s="1360"/>
      <c r="CUJ169" s="1925"/>
      <c r="CUK169" s="955"/>
      <c r="CUL169" s="963"/>
      <c r="CUM169" s="2242"/>
      <c r="CUN169" s="1360"/>
      <c r="CUO169" s="955"/>
      <c r="CUP169" s="1361"/>
      <c r="CUQ169" s="1360"/>
      <c r="CUR169" s="1925"/>
      <c r="CUS169" s="955"/>
      <c r="CUT169" s="963"/>
      <c r="CUU169" s="2242"/>
      <c r="CUV169" s="1360"/>
      <c r="CUW169" s="955"/>
      <c r="CUX169" s="1361"/>
      <c r="CUY169" s="1360"/>
      <c r="CUZ169" s="1925"/>
      <c r="CVA169" s="955"/>
      <c r="CVB169" s="963"/>
      <c r="CVC169" s="2242"/>
      <c r="CVD169" s="1360"/>
      <c r="CVE169" s="955"/>
      <c r="CVF169" s="1361"/>
      <c r="CVG169" s="1360"/>
      <c r="CVH169" s="1925"/>
      <c r="CVI169" s="955"/>
      <c r="CVJ169" s="963"/>
      <c r="CVK169" s="2242"/>
      <c r="CVL169" s="1360"/>
      <c r="CVM169" s="955"/>
      <c r="CVN169" s="1361"/>
      <c r="CVO169" s="1360"/>
      <c r="CVP169" s="1925"/>
      <c r="CVQ169" s="955"/>
      <c r="CVR169" s="963"/>
      <c r="CVS169" s="2242"/>
      <c r="CVT169" s="1360"/>
      <c r="CVU169" s="955"/>
      <c r="CVV169" s="1361"/>
      <c r="CVW169" s="1360"/>
      <c r="CVX169" s="1925"/>
      <c r="CVY169" s="955"/>
      <c r="CVZ169" s="963"/>
      <c r="CWA169" s="2242"/>
      <c r="CWB169" s="1360"/>
      <c r="CWC169" s="955"/>
      <c r="CWD169" s="1361"/>
      <c r="CWE169" s="1360"/>
      <c r="CWF169" s="1925"/>
      <c r="CWG169" s="955"/>
      <c r="CWH169" s="963"/>
      <c r="CWI169" s="2242"/>
      <c r="CWJ169" s="1360"/>
      <c r="CWK169" s="955"/>
      <c r="CWL169" s="1361"/>
      <c r="CWM169" s="1360"/>
      <c r="CWN169" s="1925"/>
      <c r="CWO169" s="955"/>
      <c r="CWP169" s="963"/>
      <c r="CWQ169" s="2242"/>
      <c r="CWR169" s="1360"/>
      <c r="CWS169" s="955"/>
      <c r="CWT169" s="1361"/>
      <c r="CWU169" s="1360"/>
      <c r="CWV169" s="1925"/>
      <c r="CWW169" s="955"/>
      <c r="CWX169" s="963"/>
      <c r="CWY169" s="2242"/>
      <c r="CWZ169" s="1360"/>
      <c r="CXA169" s="955"/>
      <c r="CXB169" s="1361"/>
      <c r="CXC169" s="1360"/>
      <c r="CXD169" s="1925"/>
      <c r="CXE169" s="955"/>
      <c r="CXF169" s="963"/>
      <c r="CXG169" s="2242"/>
      <c r="CXH169" s="1360"/>
      <c r="CXI169" s="955"/>
      <c r="CXJ169" s="1361"/>
      <c r="CXK169" s="1360"/>
      <c r="CXL169" s="1925"/>
      <c r="CXM169" s="955"/>
      <c r="CXN169" s="963"/>
      <c r="CXO169" s="2242"/>
      <c r="CXP169" s="1360"/>
      <c r="CXQ169" s="955"/>
      <c r="CXR169" s="1361"/>
      <c r="CXS169" s="1360"/>
      <c r="CXT169" s="1925"/>
      <c r="CXU169" s="955"/>
      <c r="CXV169" s="963"/>
      <c r="CXW169" s="2242"/>
      <c r="CXX169" s="1360"/>
      <c r="CXY169" s="955"/>
      <c r="CXZ169" s="1361"/>
      <c r="CYA169" s="1360"/>
      <c r="CYB169" s="1925"/>
      <c r="CYC169" s="955"/>
      <c r="CYD169" s="963"/>
      <c r="CYE169" s="2242"/>
      <c r="CYF169" s="1360"/>
      <c r="CYG169" s="955"/>
      <c r="CYH169" s="1361"/>
      <c r="CYI169" s="1360"/>
      <c r="CYJ169" s="1925"/>
      <c r="CYK169" s="955"/>
      <c r="CYL169" s="963"/>
      <c r="CYM169" s="2242"/>
      <c r="CYN169" s="1360"/>
      <c r="CYO169" s="955"/>
      <c r="CYP169" s="1361"/>
      <c r="CYQ169" s="1360"/>
      <c r="CYR169" s="1925"/>
      <c r="CYS169" s="955"/>
      <c r="CYT169" s="963"/>
      <c r="CYU169" s="2242"/>
      <c r="CYV169" s="1360"/>
      <c r="CYW169" s="955"/>
      <c r="CYX169" s="1361"/>
      <c r="CYY169" s="1360"/>
      <c r="CYZ169" s="1925"/>
      <c r="CZA169" s="955"/>
      <c r="CZB169" s="963"/>
      <c r="CZC169" s="2242"/>
      <c r="CZD169" s="1360"/>
      <c r="CZE169" s="955"/>
      <c r="CZF169" s="1361"/>
      <c r="CZG169" s="1360"/>
      <c r="CZH169" s="1925"/>
      <c r="CZI169" s="955"/>
      <c r="CZJ169" s="963"/>
      <c r="CZK169" s="2242"/>
      <c r="CZL169" s="1360"/>
      <c r="CZM169" s="955"/>
      <c r="CZN169" s="1361"/>
      <c r="CZO169" s="1360"/>
      <c r="CZP169" s="1925"/>
      <c r="CZQ169" s="955"/>
      <c r="CZR169" s="963"/>
      <c r="CZS169" s="2242"/>
      <c r="CZT169" s="1360"/>
      <c r="CZU169" s="955"/>
      <c r="CZV169" s="1361"/>
      <c r="CZW169" s="1360"/>
      <c r="CZX169" s="1925"/>
      <c r="CZY169" s="955"/>
      <c r="CZZ169" s="963"/>
      <c r="DAA169" s="2242"/>
      <c r="DAB169" s="1360"/>
      <c r="DAC169" s="955"/>
      <c r="DAD169" s="1361"/>
      <c r="DAE169" s="1360"/>
      <c r="DAF169" s="1925"/>
      <c r="DAG169" s="955"/>
      <c r="DAH169" s="963"/>
      <c r="DAI169" s="2242"/>
      <c r="DAJ169" s="1360"/>
      <c r="DAK169" s="955"/>
      <c r="DAL169" s="1361"/>
      <c r="DAM169" s="1360"/>
      <c r="DAN169" s="1925"/>
      <c r="DAO169" s="955"/>
      <c r="DAP169" s="963"/>
      <c r="DAQ169" s="2242"/>
      <c r="DAR169" s="1360"/>
      <c r="DAS169" s="955"/>
      <c r="DAT169" s="1361"/>
      <c r="DAU169" s="1360"/>
      <c r="DAV169" s="1925"/>
      <c r="DAW169" s="955"/>
      <c r="DAX169" s="963"/>
      <c r="DAY169" s="2242"/>
      <c r="DAZ169" s="1360"/>
      <c r="DBA169" s="955"/>
      <c r="DBB169" s="1361"/>
      <c r="DBC169" s="1360"/>
      <c r="DBD169" s="1925"/>
      <c r="DBE169" s="955"/>
      <c r="DBF169" s="963"/>
      <c r="DBG169" s="2242"/>
      <c r="DBH169" s="1360"/>
      <c r="DBI169" s="955"/>
      <c r="DBJ169" s="1361"/>
      <c r="DBK169" s="1360"/>
      <c r="DBL169" s="1925"/>
      <c r="DBM169" s="955"/>
      <c r="DBN169" s="963"/>
      <c r="DBO169" s="2242"/>
      <c r="DBP169" s="1360"/>
      <c r="DBQ169" s="955"/>
      <c r="DBR169" s="1361"/>
      <c r="DBS169" s="1360"/>
      <c r="DBT169" s="1925"/>
      <c r="DBU169" s="955"/>
      <c r="DBV169" s="963"/>
      <c r="DBW169" s="2242"/>
      <c r="DBX169" s="1360"/>
      <c r="DBY169" s="955"/>
      <c r="DBZ169" s="1361"/>
      <c r="DCA169" s="1360"/>
      <c r="DCB169" s="1925"/>
      <c r="DCC169" s="955"/>
      <c r="DCD169" s="963"/>
      <c r="DCE169" s="2242"/>
      <c r="DCF169" s="1360"/>
      <c r="DCG169" s="955"/>
      <c r="DCH169" s="1361"/>
      <c r="DCI169" s="1360"/>
      <c r="DCJ169" s="1925"/>
      <c r="DCK169" s="955"/>
      <c r="DCL169" s="963"/>
      <c r="DCM169" s="2242"/>
      <c r="DCN169" s="1360"/>
      <c r="DCO169" s="955"/>
      <c r="DCP169" s="1361"/>
      <c r="DCQ169" s="1360"/>
      <c r="DCR169" s="1925"/>
      <c r="DCS169" s="955"/>
      <c r="DCT169" s="963"/>
      <c r="DCU169" s="2242"/>
      <c r="DCV169" s="1360"/>
      <c r="DCW169" s="955"/>
      <c r="DCX169" s="1361"/>
      <c r="DCY169" s="1360"/>
      <c r="DCZ169" s="1925"/>
      <c r="DDA169" s="955"/>
      <c r="DDB169" s="963"/>
      <c r="DDC169" s="2242"/>
      <c r="DDD169" s="1360"/>
      <c r="DDE169" s="955"/>
      <c r="DDF169" s="1361"/>
      <c r="DDG169" s="1360"/>
      <c r="DDH169" s="1925"/>
      <c r="DDI169" s="955"/>
      <c r="DDJ169" s="963"/>
      <c r="DDK169" s="2242"/>
      <c r="DDL169" s="1360"/>
      <c r="DDM169" s="955"/>
      <c r="DDN169" s="1361"/>
      <c r="DDO169" s="1360"/>
      <c r="DDP169" s="1925"/>
      <c r="DDQ169" s="955"/>
      <c r="DDR169" s="963"/>
      <c r="DDS169" s="2242"/>
      <c r="DDT169" s="1360"/>
      <c r="DDU169" s="955"/>
      <c r="DDV169" s="1361"/>
      <c r="DDW169" s="1360"/>
      <c r="DDX169" s="1925"/>
      <c r="DDY169" s="955"/>
      <c r="DDZ169" s="963"/>
      <c r="DEA169" s="2242"/>
      <c r="DEB169" s="1360"/>
      <c r="DEC169" s="955"/>
      <c r="DED169" s="1361"/>
      <c r="DEE169" s="1360"/>
      <c r="DEF169" s="1925"/>
      <c r="DEG169" s="955"/>
      <c r="DEH169" s="963"/>
      <c r="DEI169" s="2242"/>
      <c r="DEJ169" s="1360"/>
      <c r="DEK169" s="955"/>
      <c r="DEL169" s="1361"/>
      <c r="DEM169" s="1360"/>
      <c r="DEN169" s="1925"/>
      <c r="DEO169" s="955"/>
      <c r="DEP169" s="963"/>
      <c r="DEQ169" s="2242"/>
      <c r="DER169" s="1360"/>
      <c r="DES169" s="955"/>
      <c r="DET169" s="1361"/>
      <c r="DEU169" s="1360"/>
      <c r="DEV169" s="1925"/>
      <c r="DEW169" s="955"/>
      <c r="DEX169" s="963"/>
      <c r="DEY169" s="2242"/>
      <c r="DEZ169" s="1360"/>
      <c r="DFA169" s="955"/>
      <c r="DFB169" s="1361"/>
      <c r="DFC169" s="1360"/>
      <c r="DFD169" s="1925"/>
      <c r="DFE169" s="955"/>
      <c r="DFF169" s="963"/>
      <c r="DFG169" s="2242"/>
      <c r="DFH169" s="1360"/>
      <c r="DFI169" s="955"/>
      <c r="DFJ169" s="1361"/>
      <c r="DFK169" s="1360"/>
      <c r="DFL169" s="1925"/>
      <c r="DFM169" s="955"/>
      <c r="DFN169" s="963"/>
      <c r="DFO169" s="2242"/>
      <c r="DFP169" s="1360"/>
      <c r="DFQ169" s="955"/>
      <c r="DFR169" s="1361"/>
      <c r="DFS169" s="1360"/>
      <c r="DFT169" s="1925"/>
      <c r="DFU169" s="955"/>
      <c r="DFV169" s="963"/>
      <c r="DFW169" s="2242"/>
      <c r="DFX169" s="1360"/>
      <c r="DFY169" s="955"/>
      <c r="DFZ169" s="1361"/>
      <c r="DGA169" s="1360"/>
      <c r="DGB169" s="1925"/>
      <c r="DGC169" s="955"/>
      <c r="DGD169" s="963"/>
      <c r="DGE169" s="2242"/>
      <c r="DGF169" s="1360"/>
      <c r="DGG169" s="955"/>
      <c r="DGH169" s="1361"/>
      <c r="DGI169" s="1360"/>
      <c r="DGJ169" s="1925"/>
      <c r="DGK169" s="955"/>
      <c r="DGL169" s="963"/>
      <c r="DGM169" s="2242"/>
      <c r="DGN169" s="1360"/>
      <c r="DGO169" s="955"/>
      <c r="DGP169" s="1361"/>
      <c r="DGQ169" s="1360"/>
      <c r="DGR169" s="1925"/>
      <c r="DGS169" s="955"/>
      <c r="DGT169" s="963"/>
      <c r="DGU169" s="2242"/>
      <c r="DGV169" s="1360"/>
      <c r="DGW169" s="955"/>
      <c r="DGX169" s="1361"/>
      <c r="DGY169" s="1360"/>
      <c r="DGZ169" s="1925"/>
      <c r="DHA169" s="955"/>
      <c r="DHB169" s="963"/>
      <c r="DHC169" s="2242"/>
      <c r="DHD169" s="1360"/>
      <c r="DHE169" s="955"/>
      <c r="DHF169" s="1361"/>
      <c r="DHG169" s="1360"/>
      <c r="DHH169" s="1925"/>
      <c r="DHI169" s="955"/>
      <c r="DHJ169" s="963"/>
      <c r="DHK169" s="2242"/>
      <c r="DHL169" s="1360"/>
      <c r="DHM169" s="955"/>
      <c r="DHN169" s="1361"/>
      <c r="DHO169" s="1360"/>
      <c r="DHP169" s="1925"/>
      <c r="DHQ169" s="955"/>
      <c r="DHR169" s="963"/>
      <c r="DHS169" s="2242"/>
      <c r="DHT169" s="1360"/>
      <c r="DHU169" s="955"/>
      <c r="DHV169" s="1361"/>
      <c r="DHW169" s="1360"/>
      <c r="DHX169" s="1925"/>
      <c r="DHY169" s="955"/>
      <c r="DHZ169" s="963"/>
      <c r="DIA169" s="2242"/>
      <c r="DIB169" s="1360"/>
      <c r="DIC169" s="955"/>
      <c r="DID169" s="1361"/>
      <c r="DIE169" s="1360"/>
      <c r="DIF169" s="1925"/>
      <c r="DIG169" s="955"/>
      <c r="DIH169" s="963"/>
      <c r="DII169" s="2242"/>
      <c r="DIJ169" s="1360"/>
      <c r="DIK169" s="955"/>
      <c r="DIL169" s="1361"/>
      <c r="DIM169" s="1360"/>
      <c r="DIN169" s="1925"/>
      <c r="DIO169" s="955"/>
      <c r="DIP169" s="963"/>
      <c r="DIQ169" s="2242"/>
      <c r="DIR169" s="1360"/>
      <c r="DIS169" s="955"/>
      <c r="DIT169" s="1361"/>
      <c r="DIU169" s="1360"/>
      <c r="DIV169" s="1925"/>
      <c r="DIW169" s="955"/>
      <c r="DIX169" s="963"/>
      <c r="DIY169" s="2242"/>
      <c r="DIZ169" s="1360"/>
      <c r="DJA169" s="955"/>
      <c r="DJB169" s="1361"/>
      <c r="DJC169" s="1360"/>
      <c r="DJD169" s="1925"/>
      <c r="DJE169" s="955"/>
      <c r="DJF169" s="963"/>
      <c r="DJG169" s="2242"/>
      <c r="DJH169" s="1360"/>
      <c r="DJI169" s="955"/>
      <c r="DJJ169" s="1361"/>
      <c r="DJK169" s="1360"/>
      <c r="DJL169" s="1925"/>
      <c r="DJM169" s="955"/>
      <c r="DJN169" s="963"/>
      <c r="DJO169" s="2242"/>
      <c r="DJP169" s="1360"/>
      <c r="DJQ169" s="955"/>
      <c r="DJR169" s="1361"/>
      <c r="DJS169" s="1360"/>
      <c r="DJT169" s="1925"/>
      <c r="DJU169" s="955"/>
      <c r="DJV169" s="963"/>
      <c r="DJW169" s="2242"/>
      <c r="DJX169" s="1360"/>
      <c r="DJY169" s="955"/>
      <c r="DJZ169" s="1361"/>
      <c r="DKA169" s="1360"/>
      <c r="DKB169" s="1925"/>
      <c r="DKC169" s="955"/>
      <c r="DKD169" s="963"/>
      <c r="DKE169" s="2242"/>
      <c r="DKF169" s="1360"/>
      <c r="DKG169" s="955"/>
      <c r="DKH169" s="1361"/>
      <c r="DKI169" s="1360"/>
      <c r="DKJ169" s="1925"/>
      <c r="DKK169" s="955"/>
      <c r="DKL169" s="963"/>
      <c r="DKM169" s="2242"/>
      <c r="DKN169" s="1360"/>
      <c r="DKO169" s="955"/>
      <c r="DKP169" s="1361"/>
      <c r="DKQ169" s="1360"/>
      <c r="DKR169" s="1925"/>
      <c r="DKS169" s="955"/>
      <c r="DKT169" s="963"/>
      <c r="DKU169" s="2242"/>
      <c r="DKV169" s="1360"/>
      <c r="DKW169" s="955"/>
      <c r="DKX169" s="1361"/>
      <c r="DKY169" s="1360"/>
      <c r="DKZ169" s="1925"/>
      <c r="DLA169" s="955"/>
      <c r="DLB169" s="963"/>
      <c r="DLC169" s="2242"/>
      <c r="DLD169" s="1360"/>
      <c r="DLE169" s="955"/>
      <c r="DLF169" s="1361"/>
      <c r="DLG169" s="1360"/>
      <c r="DLH169" s="1925"/>
      <c r="DLI169" s="955"/>
      <c r="DLJ169" s="963"/>
      <c r="DLK169" s="2242"/>
      <c r="DLL169" s="1360"/>
      <c r="DLM169" s="955"/>
      <c r="DLN169" s="1361"/>
      <c r="DLO169" s="1360"/>
      <c r="DLP169" s="1925"/>
      <c r="DLQ169" s="955"/>
      <c r="DLR169" s="963"/>
      <c r="DLS169" s="2242"/>
      <c r="DLT169" s="1360"/>
      <c r="DLU169" s="955"/>
      <c r="DLV169" s="1361"/>
      <c r="DLW169" s="1360"/>
      <c r="DLX169" s="1925"/>
      <c r="DLY169" s="955"/>
      <c r="DLZ169" s="963"/>
      <c r="DMA169" s="2242"/>
      <c r="DMB169" s="1360"/>
      <c r="DMC169" s="955"/>
      <c r="DMD169" s="1361"/>
      <c r="DME169" s="1360"/>
      <c r="DMF169" s="1925"/>
      <c r="DMG169" s="955"/>
      <c r="DMH169" s="963"/>
      <c r="DMI169" s="2242"/>
      <c r="DMJ169" s="1360"/>
      <c r="DMK169" s="955"/>
      <c r="DML169" s="1361"/>
      <c r="DMM169" s="1360"/>
      <c r="DMN169" s="1925"/>
      <c r="DMO169" s="955"/>
      <c r="DMP169" s="963"/>
      <c r="DMQ169" s="2242"/>
      <c r="DMR169" s="1360"/>
      <c r="DMS169" s="955"/>
      <c r="DMT169" s="1361"/>
      <c r="DMU169" s="1360"/>
      <c r="DMV169" s="1925"/>
      <c r="DMW169" s="955"/>
      <c r="DMX169" s="963"/>
      <c r="DMY169" s="2242"/>
      <c r="DMZ169" s="1360"/>
      <c r="DNA169" s="955"/>
      <c r="DNB169" s="1361"/>
      <c r="DNC169" s="1360"/>
      <c r="DND169" s="1925"/>
      <c r="DNE169" s="955"/>
      <c r="DNF169" s="963"/>
      <c r="DNG169" s="2242"/>
      <c r="DNH169" s="1360"/>
      <c r="DNI169" s="955"/>
      <c r="DNJ169" s="1361"/>
      <c r="DNK169" s="1360"/>
      <c r="DNL169" s="1925"/>
      <c r="DNM169" s="955"/>
      <c r="DNN169" s="963"/>
      <c r="DNO169" s="2242"/>
      <c r="DNP169" s="1360"/>
      <c r="DNQ169" s="955"/>
      <c r="DNR169" s="1361"/>
      <c r="DNS169" s="1360"/>
      <c r="DNT169" s="1925"/>
      <c r="DNU169" s="955"/>
      <c r="DNV169" s="963"/>
      <c r="DNW169" s="2242"/>
      <c r="DNX169" s="1360"/>
      <c r="DNY169" s="955"/>
      <c r="DNZ169" s="1361"/>
      <c r="DOA169" s="1360"/>
      <c r="DOB169" s="1925"/>
      <c r="DOC169" s="955"/>
      <c r="DOD169" s="963"/>
      <c r="DOE169" s="2242"/>
      <c r="DOF169" s="1360"/>
      <c r="DOG169" s="955"/>
      <c r="DOH169" s="1361"/>
      <c r="DOI169" s="1360"/>
      <c r="DOJ169" s="1925"/>
      <c r="DOK169" s="955"/>
      <c r="DOL169" s="963"/>
      <c r="DOM169" s="2242"/>
      <c r="DON169" s="1360"/>
      <c r="DOO169" s="955"/>
      <c r="DOP169" s="1361"/>
      <c r="DOQ169" s="1360"/>
      <c r="DOR169" s="1925"/>
      <c r="DOS169" s="955"/>
      <c r="DOT169" s="963"/>
      <c r="DOU169" s="2242"/>
      <c r="DOV169" s="1360"/>
      <c r="DOW169" s="955"/>
      <c r="DOX169" s="1361"/>
      <c r="DOY169" s="1360"/>
      <c r="DOZ169" s="1925"/>
      <c r="DPA169" s="955"/>
      <c r="DPB169" s="963"/>
      <c r="DPC169" s="2242"/>
      <c r="DPD169" s="1360"/>
      <c r="DPE169" s="955"/>
      <c r="DPF169" s="1361"/>
      <c r="DPG169" s="1360"/>
      <c r="DPH169" s="1925"/>
      <c r="DPI169" s="955"/>
      <c r="DPJ169" s="963"/>
      <c r="DPK169" s="2242"/>
      <c r="DPL169" s="1360"/>
      <c r="DPM169" s="955"/>
      <c r="DPN169" s="1361"/>
      <c r="DPO169" s="1360"/>
      <c r="DPP169" s="1925"/>
      <c r="DPQ169" s="955"/>
      <c r="DPR169" s="963"/>
      <c r="DPS169" s="2242"/>
      <c r="DPT169" s="1360"/>
      <c r="DPU169" s="955"/>
      <c r="DPV169" s="1361"/>
      <c r="DPW169" s="1360"/>
      <c r="DPX169" s="1925"/>
      <c r="DPY169" s="955"/>
      <c r="DPZ169" s="963"/>
      <c r="DQA169" s="2242"/>
      <c r="DQB169" s="1360"/>
      <c r="DQC169" s="955"/>
      <c r="DQD169" s="1361"/>
      <c r="DQE169" s="1360"/>
      <c r="DQF169" s="1925"/>
      <c r="DQG169" s="955"/>
      <c r="DQH169" s="963"/>
      <c r="DQI169" s="2242"/>
      <c r="DQJ169" s="1360"/>
      <c r="DQK169" s="955"/>
      <c r="DQL169" s="1361"/>
      <c r="DQM169" s="1360"/>
      <c r="DQN169" s="1925"/>
      <c r="DQO169" s="955"/>
      <c r="DQP169" s="963"/>
      <c r="DQQ169" s="2242"/>
      <c r="DQR169" s="1360"/>
      <c r="DQS169" s="955"/>
      <c r="DQT169" s="1361"/>
      <c r="DQU169" s="1360"/>
      <c r="DQV169" s="1925"/>
      <c r="DQW169" s="955"/>
      <c r="DQX169" s="963"/>
      <c r="DQY169" s="2242"/>
      <c r="DQZ169" s="1360"/>
      <c r="DRA169" s="955"/>
      <c r="DRB169" s="1361"/>
      <c r="DRC169" s="1360"/>
      <c r="DRD169" s="1925"/>
      <c r="DRE169" s="955"/>
      <c r="DRF169" s="963"/>
      <c r="DRG169" s="2242"/>
      <c r="DRH169" s="1360"/>
      <c r="DRI169" s="955"/>
      <c r="DRJ169" s="1361"/>
      <c r="DRK169" s="1360"/>
      <c r="DRL169" s="1925"/>
      <c r="DRM169" s="955"/>
      <c r="DRN169" s="963"/>
      <c r="DRO169" s="2242"/>
      <c r="DRP169" s="1360"/>
      <c r="DRQ169" s="955"/>
      <c r="DRR169" s="1361"/>
      <c r="DRS169" s="1360"/>
      <c r="DRT169" s="1925"/>
      <c r="DRU169" s="955"/>
      <c r="DRV169" s="963"/>
      <c r="DRW169" s="2242"/>
      <c r="DRX169" s="1360"/>
      <c r="DRY169" s="955"/>
      <c r="DRZ169" s="1361"/>
      <c r="DSA169" s="1360"/>
      <c r="DSB169" s="1925"/>
      <c r="DSC169" s="955"/>
      <c r="DSD169" s="963"/>
      <c r="DSE169" s="2242"/>
      <c r="DSF169" s="1360"/>
      <c r="DSG169" s="955"/>
      <c r="DSH169" s="1361"/>
      <c r="DSI169" s="1360"/>
      <c r="DSJ169" s="1925"/>
      <c r="DSK169" s="955"/>
      <c r="DSL169" s="963"/>
      <c r="DSM169" s="2242"/>
      <c r="DSN169" s="1360"/>
      <c r="DSO169" s="955"/>
      <c r="DSP169" s="1361"/>
      <c r="DSQ169" s="1360"/>
      <c r="DSR169" s="1925"/>
      <c r="DSS169" s="955"/>
      <c r="DST169" s="963"/>
      <c r="DSU169" s="2242"/>
      <c r="DSV169" s="1360"/>
      <c r="DSW169" s="955"/>
      <c r="DSX169" s="1361"/>
      <c r="DSY169" s="1360"/>
      <c r="DSZ169" s="1925"/>
      <c r="DTA169" s="955"/>
      <c r="DTB169" s="963"/>
      <c r="DTC169" s="2242"/>
      <c r="DTD169" s="1360"/>
      <c r="DTE169" s="955"/>
      <c r="DTF169" s="1361"/>
      <c r="DTG169" s="1360"/>
      <c r="DTH169" s="1925"/>
      <c r="DTI169" s="955"/>
      <c r="DTJ169" s="963"/>
      <c r="DTK169" s="2242"/>
      <c r="DTL169" s="1360"/>
      <c r="DTM169" s="955"/>
      <c r="DTN169" s="1361"/>
      <c r="DTO169" s="1360"/>
      <c r="DTP169" s="1925"/>
      <c r="DTQ169" s="955"/>
      <c r="DTR169" s="963"/>
      <c r="DTS169" s="2242"/>
      <c r="DTT169" s="1360"/>
      <c r="DTU169" s="955"/>
      <c r="DTV169" s="1361"/>
      <c r="DTW169" s="1360"/>
      <c r="DTX169" s="1925"/>
      <c r="DTY169" s="955"/>
      <c r="DTZ169" s="963"/>
      <c r="DUA169" s="2242"/>
      <c r="DUB169" s="1360"/>
      <c r="DUC169" s="955"/>
      <c r="DUD169" s="1361"/>
      <c r="DUE169" s="1360"/>
      <c r="DUF169" s="1925"/>
      <c r="DUG169" s="955"/>
      <c r="DUH169" s="963"/>
      <c r="DUI169" s="2242"/>
      <c r="DUJ169" s="1360"/>
      <c r="DUK169" s="955"/>
      <c r="DUL169" s="1361"/>
      <c r="DUM169" s="1360"/>
      <c r="DUN169" s="1925"/>
      <c r="DUO169" s="955"/>
      <c r="DUP169" s="963"/>
      <c r="DUQ169" s="2242"/>
      <c r="DUR169" s="1360"/>
      <c r="DUS169" s="955"/>
      <c r="DUT169" s="1361"/>
      <c r="DUU169" s="1360"/>
      <c r="DUV169" s="1925"/>
      <c r="DUW169" s="955"/>
      <c r="DUX169" s="963"/>
      <c r="DUY169" s="2242"/>
      <c r="DUZ169" s="1360"/>
      <c r="DVA169" s="955"/>
      <c r="DVB169" s="1361"/>
      <c r="DVC169" s="1360"/>
      <c r="DVD169" s="1925"/>
      <c r="DVE169" s="955"/>
      <c r="DVF169" s="963"/>
      <c r="DVG169" s="2242"/>
      <c r="DVH169" s="1360"/>
      <c r="DVI169" s="955"/>
      <c r="DVJ169" s="1361"/>
      <c r="DVK169" s="1360"/>
      <c r="DVL169" s="1925"/>
      <c r="DVM169" s="955"/>
      <c r="DVN169" s="963"/>
      <c r="DVO169" s="2242"/>
      <c r="DVP169" s="1360"/>
      <c r="DVQ169" s="955"/>
      <c r="DVR169" s="1361"/>
      <c r="DVS169" s="1360"/>
      <c r="DVT169" s="1925"/>
      <c r="DVU169" s="955"/>
      <c r="DVV169" s="963"/>
      <c r="DVW169" s="2242"/>
      <c r="DVX169" s="1360"/>
      <c r="DVY169" s="955"/>
      <c r="DVZ169" s="1361"/>
      <c r="DWA169" s="1360"/>
      <c r="DWB169" s="1925"/>
      <c r="DWC169" s="955"/>
      <c r="DWD169" s="963"/>
      <c r="DWE169" s="2242"/>
      <c r="DWF169" s="1360"/>
      <c r="DWG169" s="955"/>
      <c r="DWH169" s="1361"/>
      <c r="DWI169" s="1360"/>
      <c r="DWJ169" s="1925"/>
      <c r="DWK169" s="955"/>
      <c r="DWL169" s="963"/>
      <c r="DWM169" s="2242"/>
      <c r="DWN169" s="1360"/>
      <c r="DWO169" s="955"/>
      <c r="DWP169" s="1361"/>
      <c r="DWQ169" s="1360"/>
      <c r="DWR169" s="1925"/>
      <c r="DWS169" s="955"/>
      <c r="DWT169" s="963"/>
      <c r="DWU169" s="2242"/>
      <c r="DWV169" s="1360"/>
      <c r="DWW169" s="955"/>
      <c r="DWX169" s="1361"/>
      <c r="DWY169" s="1360"/>
      <c r="DWZ169" s="1925"/>
      <c r="DXA169" s="955"/>
      <c r="DXB169" s="963"/>
      <c r="DXC169" s="2242"/>
      <c r="DXD169" s="1360"/>
      <c r="DXE169" s="955"/>
      <c r="DXF169" s="1361"/>
      <c r="DXG169" s="1360"/>
      <c r="DXH169" s="1925"/>
      <c r="DXI169" s="955"/>
      <c r="DXJ169" s="963"/>
      <c r="DXK169" s="2242"/>
      <c r="DXL169" s="1360"/>
      <c r="DXM169" s="955"/>
      <c r="DXN169" s="1361"/>
      <c r="DXO169" s="1360"/>
      <c r="DXP169" s="1925"/>
      <c r="DXQ169" s="955"/>
      <c r="DXR169" s="963"/>
      <c r="DXS169" s="2242"/>
      <c r="DXT169" s="1360"/>
      <c r="DXU169" s="955"/>
      <c r="DXV169" s="1361"/>
      <c r="DXW169" s="1360"/>
      <c r="DXX169" s="1925"/>
      <c r="DXY169" s="955"/>
      <c r="DXZ169" s="963"/>
      <c r="DYA169" s="2242"/>
      <c r="DYB169" s="1360"/>
      <c r="DYC169" s="955"/>
      <c r="DYD169" s="1361"/>
      <c r="DYE169" s="1360"/>
      <c r="DYF169" s="1925"/>
      <c r="DYG169" s="955"/>
      <c r="DYH169" s="963"/>
      <c r="DYI169" s="2242"/>
      <c r="DYJ169" s="1360"/>
      <c r="DYK169" s="955"/>
      <c r="DYL169" s="1361"/>
      <c r="DYM169" s="1360"/>
      <c r="DYN169" s="1925"/>
      <c r="DYO169" s="955"/>
      <c r="DYP169" s="963"/>
      <c r="DYQ169" s="2242"/>
      <c r="DYR169" s="1360"/>
      <c r="DYS169" s="955"/>
      <c r="DYT169" s="1361"/>
      <c r="DYU169" s="1360"/>
      <c r="DYV169" s="1925"/>
      <c r="DYW169" s="955"/>
      <c r="DYX169" s="963"/>
      <c r="DYY169" s="2242"/>
      <c r="DYZ169" s="1360"/>
      <c r="DZA169" s="955"/>
      <c r="DZB169" s="1361"/>
      <c r="DZC169" s="1360"/>
      <c r="DZD169" s="1925"/>
      <c r="DZE169" s="955"/>
      <c r="DZF169" s="963"/>
      <c r="DZG169" s="2242"/>
      <c r="DZH169" s="1360"/>
      <c r="DZI169" s="955"/>
      <c r="DZJ169" s="1361"/>
      <c r="DZK169" s="1360"/>
      <c r="DZL169" s="1925"/>
      <c r="DZM169" s="955"/>
      <c r="DZN169" s="963"/>
      <c r="DZO169" s="2242"/>
      <c r="DZP169" s="1360"/>
      <c r="DZQ169" s="955"/>
      <c r="DZR169" s="1361"/>
      <c r="DZS169" s="1360"/>
      <c r="DZT169" s="1925"/>
      <c r="DZU169" s="955"/>
      <c r="DZV169" s="963"/>
      <c r="DZW169" s="2242"/>
      <c r="DZX169" s="1360"/>
      <c r="DZY169" s="955"/>
      <c r="DZZ169" s="1361"/>
      <c r="EAA169" s="1360"/>
      <c r="EAB169" s="1925"/>
      <c r="EAC169" s="955"/>
      <c r="EAD169" s="963"/>
      <c r="EAE169" s="2242"/>
      <c r="EAF169" s="1360"/>
      <c r="EAG169" s="955"/>
      <c r="EAH169" s="1361"/>
      <c r="EAI169" s="1360"/>
      <c r="EAJ169" s="1925"/>
      <c r="EAK169" s="955"/>
      <c r="EAL169" s="963"/>
      <c r="EAM169" s="2242"/>
      <c r="EAN169" s="1360"/>
      <c r="EAO169" s="955"/>
      <c r="EAP169" s="1361"/>
      <c r="EAQ169" s="1360"/>
      <c r="EAR169" s="1925"/>
      <c r="EAS169" s="955"/>
      <c r="EAT169" s="963"/>
      <c r="EAU169" s="2242"/>
      <c r="EAV169" s="1360"/>
      <c r="EAW169" s="955"/>
      <c r="EAX169" s="1361"/>
      <c r="EAY169" s="1360"/>
      <c r="EAZ169" s="1925"/>
      <c r="EBA169" s="955"/>
      <c r="EBB169" s="963"/>
      <c r="EBC169" s="2242"/>
      <c r="EBD169" s="1360"/>
      <c r="EBE169" s="955"/>
      <c r="EBF169" s="1361"/>
      <c r="EBG169" s="1360"/>
      <c r="EBH169" s="1925"/>
      <c r="EBI169" s="955"/>
      <c r="EBJ169" s="963"/>
      <c r="EBK169" s="2242"/>
      <c r="EBL169" s="1360"/>
      <c r="EBM169" s="955"/>
      <c r="EBN169" s="1361"/>
      <c r="EBO169" s="1360"/>
      <c r="EBP169" s="1925"/>
      <c r="EBQ169" s="955"/>
      <c r="EBR169" s="963"/>
      <c r="EBS169" s="2242"/>
      <c r="EBT169" s="1360"/>
      <c r="EBU169" s="955"/>
      <c r="EBV169" s="1361"/>
      <c r="EBW169" s="1360"/>
      <c r="EBX169" s="1925"/>
      <c r="EBY169" s="955"/>
      <c r="EBZ169" s="963"/>
      <c r="ECA169" s="2242"/>
      <c r="ECB169" s="1360"/>
      <c r="ECC169" s="955"/>
      <c r="ECD169" s="1361"/>
      <c r="ECE169" s="1360"/>
      <c r="ECF169" s="1925"/>
      <c r="ECG169" s="955"/>
      <c r="ECH169" s="963"/>
      <c r="ECI169" s="2242"/>
      <c r="ECJ169" s="1360"/>
      <c r="ECK169" s="955"/>
      <c r="ECL169" s="1361"/>
      <c r="ECM169" s="1360"/>
      <c r="ECN169" s="1925"/>
      <c r="ECO169" s="955"/>
      <c r="ECP169" s="963"/>
      <c r="ECQ169" s="2242"/>
      <c r="ECR169" s="1360"/>
      <c r="ECS169" s="955"/>
      <c r="ECT169" s="1361"/>
      <c r="ECU169" s="1360"/>
      <c r="ECV169" s="1925"/>
      <c r="ECW169" s="955"/>
      <c r="ECX169" s="963"/>
      <c r="ECY169" s="2242"/>
      <c r="ECZ169" s="1360"/>
      <c r="EDA169" s="955"/>
      <c r="EDB169" s="1361"/>
      <c r="EDC169" s="1360"/>
      <c r="EDD169" s="1925"/>
      <c r="EDE169" s="955"/>
      <c r="EDF169" s="963"/>
      <c r="EDG169" s="2242"/>
      <c r="EDH169" s="1360"/>
      <c r="EDI169" s="955"/>
      <c r="EDJ169" s="1361"/>
      <c r="EDK169" s="1360"/>
      <c r="EDL169" s="1925"/>
      <c r="EDM169" s="955"/>
      <c r="EDN169" s="963"/>
      <c r="EDO169" s="2242"/>
      <c r="EDP169" s="1360"/>
      <c r="EDQ169" s="955"/>
      <c r="EDR169" s="1361"/>
      <c r="EDS169" s="1360"/>
      <c r="EDT169" s="1925"/>
      <c r="EDU169" s="955"/>
      <c r="EDV169" s="963"/>
      <c r="EDW169" s="2242"/>
      <c r="EDX169" s="1360"/>
      <c r="EDY169" s="955"/>
      <c r="EDZ169" s="1361"/>
      <c r="EEA169" s="1360"/>
      <c r="EEB169" s="1925"/>
      <c r="EEC169" s="955"/>
      <c r="EED169" s="963"/>
      <c r="EEE169" s="2242"/>
      <c r="EEF169" s="1360"/>
      <c r="EEG169" s="955"/>
      <c r="EEH169" s="1361"/>
      <c r="EEI169" s="1360"/>
      <c r="EEJ169" s="1925"/>
      <c r="EEK169" s="955"/>
      <c r="EEL169" s="963"/>
      <c r="EEM169" s="2242"/>
      <c r="EEN169" s="1360"/>
      <c r="EEO169" s="955"/>
      <c r="EEP169" s="1361"/>
      <c r="EEQ169" s="1360"/>
      <c r="EER169" s="1925"/>
      <c r="EES169" s="955"/>
      <c r="EET169" s="963"/>
      <c r="EEU169" s="2242"/>
      <c r="EEV169" s="1360"/>
      <c r="EEW169" s="955"/>
      <c r="EEX169" s="1361"/>
      <c r="EEY169" s="1360"/>
      <c r="EEZ169" s="1925"/>
      <c r="EFA169" s="955"/>
      <c r="EFB169" s="963"/>
      <c r="EFC169" s="2242"/>
      <c r="EFD169" s="1360"/>
      <c r="EFE169" s="955"/>
      <c r="EFF169" s="1361"/>
      <c r="EFG169" s="1360"/>
      <c r="EFH169" s="1925"/>
      <c r="EFI169" s="955"/>
      <c r="EFJ169" s="963"/>
      <c r="EFK169" s="2242"/>
      <c r="EFL169" s="1360"/>
      <c r="EFM169" s="955"/>
      <c r="EFN169" s="1361"/>
      <c r="EFO169" s="1360"/>
      <c r="EFP169" s="1925"/>
      <c r="EFQ169" s="955"/>
      <c r="EFR169" s="963"/>
      <c r="EFS169" s="2242"/>
      <c r="EFT169" s="1360"/>
      <c r="EFU169" s="955"/>
      <c r="EFV169" s="1361"/>
      <c r="EFW169" s="1360"/>
      <c r="EFX169" s="1925"/>
      <c r="EFY169" s="955"/>
      <c r="EFZ169" s="963"/>
      <c r="EGA169" s="2242"/>
      <c r="EGB169" s="1360"/>
      <c r="EGC169" s="955"/>
      <c r="EGD169" s="1361"/>
      <c r="EGE169" s="1360"/>
      <c r="EGF169" s="1925"/>
      <c r="EGG169" s="955"/>
      <c r="EGH169" s="963"/>
      <c r="EGI169" s="2242"/>
      <c r="EGJ169" s="1360"/>
      <c r="EGK169" s="955"/>
      <c r="EGL169" s="1361"/>
      <c r="EGM169" s="1360"/>
      <c r="EGN169" s="1925"/>
      <c r="EGO169" s="955"/>
      <c r="EGP169" s="963"/>
      <c r="EGQ169" s="2242"/>
      <c r="EGR169" s="1360"/>
      <c r="EGS169" s="955"/>
      <c r="EGT169" s="1361"/>
      <c r="EGU169" s="1360"/>
      <c r="EGV169" s="1925"/>
      <c r="EGW169" s="955"/>
      <c r="EGX169" s="963"/>
      <c r="EGY169" s="2242"/>
      <c r="EGZ169" s="1360"/>
      <c r="EHA169" s="955"/>
      <c r="EHB169" s="1361"/>
      <c r="EHC169" s="1360"/>
      <c r="EHD169" s="1925"/>
      <c r="EHE169" s="955"/>
      <c r="EHF169" s="963"/>
      <c r="EHG169" s="2242"/>
      <c r="EHH169" s="1360"/>
      <c r="EHI169" s="955"/>
      <c r="EHJ169" s="1361"/>
      <c r="EHK169" s="1360"/>
      <c r="EHL169" s="1925"/>
      <c r="EHM169" s="955"/>
      <c r="EHN169" s="963"/>
      <c r="EHO169" s="2242"/>
      <c r="EHP169" s="1360"/>
      <c r="EHQ169" s="955"/>
      <c r="EHR169" s="1361"/>
      <c r="EHS169" s="1360"/>
      <c r="EHT169" s="1925"/>
      <c r="EHU169" s="955"/>
      <c r="EHV169" s="963"/>
      <c r="EHW169" s="2242"/>
      <c r="EHX169" s="1360"/>
      <c r="EHY169" s="955"/>
      <c r="EHZ169" s="1361"/>
      <c r="EIA169" s="1360"/>
      <c r="EIB169" s="1925"/>
      <c r="EIC169" s="955"/>
      <c r="EID169" s="963"/>
      <c r="EIE169" s="2242"/>
      <c r="EIF169" s="1360"/>
      <c r="EIG169" s="955"/>
      <c r="EIH169" s="1361"/>
      <c r="EII169" s="1360"/>
      <c r="EIJ169" s="1925"/>
      <c r="EIK169" s="955"/>
      <c r="EIL169" s="963"/>
      <c r="EIM169" s="2242"/>
      <c r="EIN169" s="1360"/>
      <c r="EIO169" s="955"/>
      <c r="EIP169" s="1361"/>
      <c r="EIQ169" s="1360"/>
      <c r="EIR169" s="1925"/>
      <c r="EIS169" s="955"/>
      <c r="EIT169" s="963"/>
      <c r="EIU169" s="2242"/>
      <c r="EIV169" s="1360"/>
      <c r="EIW169" s="955"/>
      <c r="EIX169" s="1361"/>
      <c r="EIY169" s="1360"/>
      <c r="EIZ169" s="1925"/>
      <c r="EJA169" s="955"/>
      <c r="EJB169" s="963"/>
      <c r="EJC169" s="2242"/>
      <c r="EJD169" s="1360"/>
      <c r="EJE169" s="955"/>
      <c r="EJF169" s="1361"/>
      <c r="EJG169" s="1360"/>
      <c r="EJH169" s="1925"/>
      <c r="EJI169" s="955"/>
      <c r="EJJ169" s="963"/>
      <c r="EJK169" s="2242"/>
      <c r="EJL169" s="1360"/>
      <c r="EJM169" s="955"/>
      <c r="EJN169" s="1361"/>
      <c r="EJO169" s="1360"/>
      <c r="EJP169" s="1925"/>
      <c r="EJQ169" s="955"/>
      <c r="EJR169" s="963"/>
      <c r="EJS169" s="2242"/>
      <c r="EJT169" s="1360"/>
      <c r="EJU169" s="955"/>
      <c r="EJV169" s="1361"/>
      <c r="EJW169" s="1360"/>
      <c r="EJX169" s="1925"/>
      <c r="EJY169" s="955"/>
      <c r="EJZ169" s="963"/>
      <c r="EKA169" s="2242"/>
      <c r="EKB169" s="1360"/>
      <c r="EKC169" s="955"/>
      <c r="EKD169" s="1361"/>
      <c r="EKE169" s="1360"/>
      <c r="EKF169" s="1925"/>
      <c r="EKG169" s="955"/>
      <c r="EKH169" s="963"/>
      <c r="EKI169" s="2242"/>
      <c r="EKJ169" s="1360"/>
      <c r="EKK169" s="955"/>
      <c r="EKL169" s="1361"/>
      <c r="EKM169" s="1360"/>
      <c r="EKN169" s="1925"/>
      <c r="EKO169" s="955"/>
      <c r="EKP169" s="963"/>
      <c r="EKQ169" s="2242"/>
      <c r="EKR169" s="1360"/>
      <c r="EKS169" s="955"/>
      <c r="EKT169" s="1361"/>
      <c r="EKU169" s="1360"/>
      <c r="EKV169" s="1925"/>
      <c r="EKW169" s="955"/>
      <c r="EKX169" s="963"/>
      <c r="EKY169" s="2242"/>
      <c r="EKZ169" s="1360"/>
      <c r="ELA169" s="955"/>
      <c r="ELB169" s="1361"/>
      <c r="ELC169" s="1360"/>
      <c r="ELD169" s="1925"/>
      <c r="ELE169" s="955"/>
      <c r="ELF169" s="963"/>
      <c r="ELG169" s="2242"/>
      <c r="ELH169" s="1360"/>
      <c r="ELI169" s="955"/>
      <c r="ELJ169" s="1361"/>
      <c r="ELK169" s="1360"/>
      <c r="ELL169" s="1925"/>
      <c r="ELM169" s="955"/>
      <c r="ELN169" s="963"/>
      <c r="ELO169" s="2242"/>
      <c r="ELP169" s="1360"/>
      <c r="ELQ169" s="955"/>
      <c r="ELR169" s="1361"/>
      <c r="ELS169" s="1360"/>
      <c r="ELT169" s="1925"/>
      <c r="ELU169" s="955"/>
      <c r="ELV169" s="963"/>
      <c r="ELW169" s="2242"/>
      <c r="ELX169" s="1360"/>
      <c r="ELY169" s="955"/>
      <c r="ELZ169" s="1361"/>
      <c r="EMA169" s="1360"/>
      <c r="EMB169" s="1925"/>
      <c r="EMC169" s="955"/>
      <c r="EMD169" s="963"/>
      <c r="EME169" s="2242"/>
      <c r="EMF169" s="1360"/>
      <c r="EMG169" s="955"/>
      <c r="EMH169" s="1361"/>
      <c r="EMI169" s="1360"/>
      <c r="EMJ169" s="1925"/>
      <c r="EMK169" s="955"/>
      <c r="EML169" s="963"/>
      <c r="EMM169" s="2242"/>
      <c r="EMN169" s="1360"/>
      <c r="EMO169" s="955"/>
      <c r="EMP169" s="1361"/>
      <c r="EMQ169" s="1360"/>
      <c r="EMR169" s="1925"/>
      <c r="EMS169" s="955"/>
      <c r="EMT169" s="963"/>
      <c r="EMU169" s="2242"/>
      <c r="EMV169" s="1360"/>
      <c r="EMW169" s="955"/>
      <c r="EMX169" s="1361"/>
      <c r="EMY169" s="1360"/>
      <c r="EMZ169" s="1925"/>
      <c r="ENA169" s="955"/>
      <c r="ENB169" s="963"/>
      <c r="ENC169" s="2242"/>
      <c r="END169" s="1360"/>
      <c r="ENE169" s="955"/>
      <c r="ENF169" s="1361"/>
      <c r="ENG169" s="1360"/>
      <c r="ENH169" s="1925"/>
      <c r="ENI169" s="955"/>
      <c r="ENJ169" s="963"/>
      <c r="ENK169" s="2242"/>
      <c r="ENL169" s="1360"/>
      <c r="ENM169" s="955"/>
      <c r="ENN169" s="1361"/>
      <c r="ENO169" s="1360"/>
      <c r="ENP169" s="1925"/>
      <c r="ENQ169" s="955"/>
      <c r="ENR169" s="963"/>
      <c r="ENS169" s="2242"/>
      <c r="ENT169" s="1360"/>
      <c r="ENU169" s="955"/>
      <c r="ENV169" s="1361"/>
      <c r="ENW169" s="1360"/>
      <c r="ENX169" s="1925"/>
      <c r="ENY169" s="955"/>
      <c r="ENZ169" s="963"/>
      <c r="EOA169" s="2242"/>
      <c r="EOB169" s="1360"/>
      <c r="EOC169" s="955"/>
      <c r="EOD169" s="1361"/>
      <c r="EOE169" s="1360"/>
      <c r="EOF169" s="1925"/>
      <c r="EOG169" s="955"/>
      <c r="EOH169" s="963"/>
      <c r="EOI169" s="2242"/>
      <c r="EOJ169" s="1360"/>
      <c r="EOK169" s="955"/>
      <c r="EOL169" s="1361"/>
      <c r="EOM169" s="1360"/>
      <c r="EON169" s="1925"/>
      <c r="EOO169" s="955"/>
      <c r="EOP169" s="963"/>
      <c r="EOQ169" s="2242"/>
      <c r="EOR169" s="1360"/>
      <c r="EOS169" s="955"/>
      <c r="EOT169" s="1361"/>
      <c r="EOU169" s="1360"/>
      <c r="EOV169" s="1925"/>
      <c r="EOW169" s="955"/>
      <c r="EOX169" s="963"/>
      <c r="EOY169" s="2242"/>
      <c r="EOZ169" s="1360"/>
      <c r="EPA169" s="955"/>
      <c r="EPB169" s="1361"/>
      <c r="EPC169" s="1360"/>
      <c r="EPD169" s="1925"/>
      <c r="EPE169" s="955"/>
      <c r="EPF169" s="963"/>
      <c r="EPG169" s="2242"/>
      <c r="EPH169" s="1360"/>
      <c r="EPI169" s="955"/>
      <c r="EPJ169" s="1361"/>
      <c r="EPK169" s="1360"/>
      <c r="EPL169" s="1925"/>
      <c r="EPM169" s="955"/>
      <c r="EPN169" s="963"/>
      <c r="EPO169" s="2242"/>
      <c r="EPP169" s="1360"/>
      <c r="EPQ169" s="955"/>
      <c r="EPR169" s="1361"/>
      <c r="EPS169" s="1360"/>
      <c r="EPT169" s="1925"/>
      <c r="EPU169" s="955"/>
      <c r="EPV169" s="963"/>
      <c r="EPW169" s="2242"/>
      <c r="EPX169" s="1360"/>
      <c r="EPY169" s="955"/>
      <c r="EPZ169" s="1361"/>
      <c r="EQA169" s="1360"/>
      <c r="EQB169" s="1925"/>
      <c r="EQC169" s="955"/>
      <c r="EQD169" s="963"/>
      <c r="EQE169" s="2242"/>
      <c r="EQF169" s="1360"/>
      <c r="EQG169" s="955"/>
      <c r="EQH169" s="1361"/>
      <c r="EQI169" s="1360"/>
      <c r="EQJ169" s="1925"/>
      <c r="EQK169" s="955"/>
      <c r="EQL169" s="963"/>
      <c r="EQM169" s="2242"/>
      <c r="EQN169" s="1360"/>
      <c r="EQO169" s="955"/>
      <c r="EQP169" s="1361"/>
      <c r="EQQ169" s="1360"/>
      <c r="EQR169" s="1925"/>
      <c r="EQS169" s="955"/>
      <c r="EQT169" s="963"/>
      <c r="EQU169" s="2242"/>
      <c r="EQV169" s="1360"/>
      <c r="EQW169" s="955"/>
      <c r="EQX169" s="1361"/>
      <c r="EQY169" s="1360"/>
      <c r="EQZ169" s="1925"/>
      <c r="ERA169" s="955"/>
      <c r="ERB169" s="963"/>
      <c r="ERC169" s="2242"/>
      <c r="ERD169" s="1360"/>
      <c r="ERE169" s="955"/>
      <c r="ERF169" s="1361"/>
      <c r="ERG169" s="1360"/>
      <c r="ERH169" s="1925"/>
      <c r="ERI169" s="955"/>
      <c r="ERJ169" s="963"/>
      <c r="ERK169" s="2242"/>
      <c r="ERL169" s="1360"/>
      <c r="ERM169" s="955"/>
      <c r="ERN169" s="1361"/>
      <c r="ERO169" s="1360"/>
      <c r="ERP169" s="1925"/>
      <c r="ERQ169" s="955"/>
      <c r="ERR169" s="963"/>
      <c r="ERS169" s="2242"/>
      <c r="ERT169" s="1360"/>
      <c r="ERU169" s="955"/>
      <c r="ERV169" s="1361"/>
      <c r="ERW169" s="1360"/>
      <c r="ERX169" s="1925"/>
      <c r="ERY169" s="955"/>
      <c r="ERZ169" s="963"/>
      <c r="ESA169" s="2242"/>
      <c r="ESB169" s="1360"/>
      <c r="ESC169" s="955"/>
      <c r="ESD169" s="1361"/>
      <c r="ESE169" s="1360"/>
      <c r="ESF169" s="1925"/>
      <c r="ESG169" s="955"/>
      <c r="ESH169" s="963"/>
      <c r="ESI169" s="2242"/>
      <c r="ESJ169" s="1360"/>
      <c r="ESK169" s="955"/>
      <c r="ESL169" s="1361"/>
      <c r="ESM169" s="1360"/>
      <c r="ESN169" s="1925"/>
      <c r="ESO169" s="955"/>
      <c r="ESP169" s="963"/>
      <c r="ESQ169" s="2242"/>
      <c r="ESR169" s="1360"/>
      <c r="ESS169" s="955"/>
      <c r="EST169" s="1361"/>
      <c r="ESU169" s="1360"/>
      <c r="ESV169" s="1925"/>
      <c r="ESW169" s="955"/>
      <c r="ESX169" s="963"/>
      <c r="ESY169" s="2242"/>
      <c r="ESZ169" s="1360"/>
      <c r="ETA169" s="955"/>
      <c r="ETB169" s="1361"/>
      <c r="ETC169" s="1360"/>
      <c r="ETD169" s="1925"/>
      <c r="ETE169" s="955"/>
      <c r="ETF169" s="963"/>
      <c r="ETG169" s="2242"/>
      <c r="ETH169" s="1360"/>
      <c r="ETI169" s="955"/>
      <c r="ETJ169" s="1361"/>
      <c r="ETK169" s="1360"/>
      <c r="ETL169" s="1925"/>
      <c r="ETM169" s="955"/>
      <c r="ETN169" s="963"/>
      <c r="ETO169" s="2242"/>
      <c r="ETP169" s="1360"/>
      <c r="ETQ169" s="955"/>
      <c r="ETR169" s="1361"/>
      <c r="ETS169" s="1360"/>
      <c r="ETT169" s="1925"/>
      <c r="ETU169" s="955"/>
      <c r="ETV169" s="963"/>
      <c r="ETW169" s="2242"/>
      <c r="ETX169" s="1360"/>
      <c r="ETY169" s="955"/>
      <c r="ETZ169" s="1361"/>
      <c r="EUA169" s="1360"/>
      <c r="EUB169" s="1925"/>
      <c r="EUC169" s="955"/>
      <c r="EUD169" s="963"/>
      <c r="EUE169" s="2242"/>
      <c r="EUF169" s="1360"/>
      <c r="EUG169" s="955"/>
      <c r="EUH169" s="1361"/>
      <c r="EUI169" s="1360"/>
      <c r="EUJ169" s="1925"/>
      <c r="EUK169" s="955"/>
      <c r="EUL169" s="963"/>
      <c r="EUM169" s="2242"/>
      <c r="EUN169" s="1360"/>
      <c r="EUO169" s="955"/>
      <c r="EUP169" s="1361"/>
      <c r="EUQ169" s="1360"/>
      <c r="EUR169" s="1925"/>
      <c r="EUS169" s="955"/>
      <c r="EUT169" s="963"/>
      <c r="EUU169" s="2242"/>
      <c r="EUV169" s="1360"/>
      <c r="EUW169" s="955"/>
      <c r="EUX169" s="1361"/>
      <c r="EUY169" s="1360"/>
      <c r="EUZ169" s="1925"/>
      <c r="EVA169" s="955"/>
      <c r="EVB169" s="963"/>
      <c r="EVC169" s="2242"/>
      <c r="EVD169" s="1360"/>
      <c r="EVE169" s="955"/>
      <c r="EVF169" s="1361"/>
      <c r="EVG169" s="1360"/>
      <c r="EVH169" s="1925"/>
      <c r="EVI169" s="955"/>
      <c r="EVJ169" s="963"/>
      <c r="EVK169" s="2242"/>
      <c r="EVL169" s="1360"/>
      <c r="EVM169" s="955"/>
      <c r="EVN169" s="1361"/>
      <c r="EVO169" s="1360"/>
      <c r="EVP169" s="1925"/>
      <c r="EVQ169" s="955"/>
      <c r="EVR169" s="963"/>
      <c r="EVS169" s="2242"/>
      <c r="EVT169" s="1360"/>
      <c r="EVU169" s="955"/>
      <c r="EVV169" s="1361"/>
      <c r="EVW169" s="1360"/>
      <c r="EVX169" s="1925"/>
      <c r="EVY169" s="955"/>
      <c r="EVZ169" s="963"/>
      <c r="EWA169" s="2242"/>
      <c r="EWB169" s="1360"/>
      <c r="EWC169" s="955"/>
      <c r="EWD169" s="1361"/>
      <c r="EWE169" s="1360"/>
      <c r="EWF169" s="1925"/>
      <c r="EWG169" s="955"/>
      <c r="EWH169" s="963"/>
      <c r="EWI169" s="2242"/>
      <c r="EWJ169" s="1360"/>
      <c r="EWK169" s="955"/>
      <c r="EWL169" s="1361"/>
      <c r="EWM169" s="1360"/>
      <c r="EWN169" s="1925"/>
      <c r="EWO169" s="955"/>
      <c r="EWP169" s="963"/>
      <c r="EWQ169" s="2242"/>
      <c r="EWR169" s="1360"/>
      <c r="EWS169" s="955"/>
      <c r="EWT169" s="1361"/>
      <c r="EWU169" s="1360"/>
      <c r="EWV169" s="1925"/>
      <c r="EWW169" s="955"/>
      <c r="EWX169" s="963"/>
      <c r="EWY169" s="2242"/>
      <c r="EWZ169" s="1360"/>
      <c r="EXA169" s="955"/>
      <c r="EXB169" s="1361"/>
      <c r="EXC169" s="1360"/>
      <c r="EXD169" s="1925"/>
      <c r="EXE169" s="955"/>
      <c r="EXF169" s="963"/>
      <c r="EXG169" s="2242"/>
      <c r="EXH169" s="1360"/>
      <c r="EXI169" s="955"/>
      <c r="EXJ169" s="1361"/>
      <c r="EXK169" s="1360"/>
      <c r="EXL169" s="1925"/>
      <c r="EXM169" s="955"/>
      <c r="EXN169" s="963"/>
      <c r="EXO169" s="2242"/>
      <c r="EXP169" s="1360"/>
      <c r="EXQ169" s="955"/>
      <c r="EXR169" s="1361"/>
      <c r="EXS169" s="1360"/>
      <c r="EXT169" s="1925"/>
      <c r="EXU169" s="955"/>
      <c r="EXV169" s="963"/>
      <c r="EXW169" s="2242"/>
      <c r="EXX169" s="1360"/>
      <c r="EXY169" s="955"/>
      <c r="EXZ169" s="1361"/>
      <c r="EYA169" s="1360"/>
      <c r="EYB169" s="1925"/>
      <c r="EYC169" s="955"/>
      <c r="EYD169" s="963"/>
      <c r="EYE169" s="2242"/>
      <c r="EYF169" s="1360"/>
      <c r="EYG169" s="955"/>
      <c r="EYH169" s="1361"/>
      <c r="EYI169" s="1360"/>
      <c r="EYJ169" s="1925"/>
      <c r="EYK169" s="955"/>
      <c r="EYL169" s="963"/>
      <c r="EYM169" s="2242"/>
      <c r="EYN169" s="1360"/>
      <c r="EYO169" s="955"/>
      <c r="EYP169" s="1361"/>
      <c r="EYQ169" s="1360"/>
      <c r="EYR169" s="1925"/>
      <c r="EYS169" s="955"/>
      <c r="EYT169" s="963"/>
      <c r="EYU169" s="2242"/>
      <c r="EYV169" s="1360"/>
      <c r="EYW169" s="955"/>
      <c r="EYX169" s="1361"/>
      <c r="EYY169" s="1360"/>
      <c r="EYZ169" s="1925"/>
      <c r="EZA169" s="955"/>
      <c r="EZB169" s="963"/>
      <c r="EZC169" s="2242"/>
      <c r="EZD169" s="1360"/>
      <c r="EZE169" s="955"/>
      <c r="EZF169" s="1361"/>
      <c r="EZG169" s="1360"/>
      <c r="EZH169" s="1925"/>
      <c r="EZI169" s="955"/>
      <c r="EZJ169" s="963"/>
      <c r="EZK169" s="2242"/>
      <c r="EZL169" s="1360"/>
      <c r="EZM169" s="955"/>
      <c r="EZN169" s="1361"/>
      <c r="EZO169" s="1360"/>
      <c r="EZP169" s="1925"/>
      <c r="EZQ169" s="955"/>
      <c r="EZR169" s="963"/>
      <c r="EZS169" s="2242"/>
      <c r="EZT169" s="1360"/>
      <c r="EZU169" s="955"/>
      <c r="EZV169" s="1361"/>
      <c r="EZW169" s="1360"/>
      <c r="EZX169" s="1925"/>
      <c r="EZY169" s="955"/>
      <c r="EZZ169" s="963"/>
      <c r="FAA169" s="2242"/>
      <c r="FAB169" s="1360"/>
      <c r="FAC169" s="955"/>
      <c r="FAD169" s="1361"/>
      <c r="FAE169" s="1360"/>
      <c r="FAF169" s="1925"/>
      <c r="FAG169" s="955"/>
      <c r="FAH169" s="963"/>
      <c r="FAI169" s="2242"/>
      <c r="FAJ169" s="1360"/>
      <c r="FAK169" s="955"/>
      <c r="FAL169" s="1361"/>
      <c r="FAM169" s="1360"/>
      <c r="FAN169" s="1925"/>
      <c r="FAO169" s="955"/>
      <c r="FAP169" s="963"/>
      <c r="FAQ169" s="2242"/>
      <c r="FAR169" s="1360"/>
      <c r="FAS169" s="955"/>
      <c r="FAT169" s="1361"/>
      <c r="FAU169" s="1360"/>
      <c r="FAV169" s="1925"/>
      <c r="FAW169" s="955"/>
      <c r="FAX169" s="963"/>
      <c r="FAY169" s="2242"/>
      <c r="FAZ169" s="1360"/>
      <c r="FBA169" s="955"/>
      <c r="FBB169" s="1361"/>
      <c r="FBC169" s="1360"/>
      <c r="FBD169" s="1925"/>
      <c r="FBE169" s="955"/>
      <c r="FBF169" s="963"/>
      <c r="FBG169" s="2242"/>
      <c r="FBH169" s="1360"/>
      <c r="FBI169" s="955"/>
      <c r="FBJ169" s="1361"/>
      <c r="FBK169" s="1360"/>
      <c r="FBL169" s="1925"/>
      <c r="FBM169" s="955"/>
      <c r="FBN169" s="963"/>
      <c r="FBO169" s="2242"/>
      <c r="FBP169" s="1360"/>
      <c r="FBQ169" s="955"/>
      <c r="FBR169" s="1361"/>
      <c r="FBS169" s="1360"/>
      <c r="FBT169" s="1925"/>
      <c r="FBU169" s="955"/>
      <c r="FBV169" s="963"/>
      <c r="FBW169" s="2242"/>
      <c r="FBX169" s="1360"/>
      <c r="FBY169" s="955"/>
      <c r="FBZ169" s="1361"/>
      <c r="FCA169" s="1360"/>
      <c r="FCB169" s="1925"/>
      <c r="FCC169" s="955"/>
      <c r="FCD169" s="963"/>
      <c r="FCE169" s="2242"/>
      <c r="FCF169" s="1360"/>
      <c r="FCG169" s="955"/>
      <c r="FCH169" s="1361"/>
      <c r="FCI169" s="1360"/>
      <c r="FCJ169" s="1925"/>
      <c r="FCK169" s="955"/>
      <c r="FCL169" s="963"/>
      <c r="FCM169" s="2242"/>
      <c r="FCN169" s="1360"/>
      <c r="FCO169" s="955"/>
      <c r="FCP169" s="1361"/>
      <c r="FCQ169" s="1360"/>
      <c r="FCR169" s="1925"/>
      <c r="FCS169" s="955"/>
      <c r="FCT169" s="963"/>
      <c r="FCU169" s="2242"/>
      <c r="FCV169" s="1360"/>
      <c r="FCW169" s="955"/>
      <c r="FCX169" s="1361"/>
      <c r="FCY169" s="1360"/>
      <c r="FCZ169" s="1925"/>
      <c r="FDA169" s="955"/>
      <c r="FDB169" s="963"/>
      <c r="FDC169" s="2242"/>
      <c r="FDD169" s="1360"/>
      <c r="FDE169" s="955"/>
      <c r="FDF169" s="1361"/>
      <c r="FDG169" s="1360"/>
      <c r="FDH169" s="1925"/>
      <c r="FDI169" s="955"/>
      <c r="FDJ169" s="963"/>
      <c r="FDK169" s="2242"/>
      <c r="FDL169" s="1360"/>
      <c r="FDM169" s="955"/>
      <c r="FDN169" s="1361"/>
      <c r="FDO169" s="1360"/>
      <c r="FDP169" s="1925"/>
      <c r="FDQ169" s="955"/>
      <c r="FDR169" s="963"/>
      <c r="FDS169" s="2242"/>
      <c r="FDT169" s="1360"/>
      <c r="FDU169" s="955"/>
      <c r="FDV169" s="1361"/>
      <c r="FDW169" s="1360"/>
      <c r="FDX169" s="1925"/>
      <c r="FDY169" s="955"/>
      <c r="FDZ169" s="963"/>
      <c r="FEA169" s="2242"/>
      <c r="FEB169" s="1360"/>
      <c r="FEC169" s="955"/>
      <c r="FED169" s="1361"/>
      <c r="FEE169" s="1360"/>
      <c r="FEF169" s="1925"/>
      <c r="FEG169" s="955"/>
      <c r="FEH169" s="963"/>
      <c r="FEI169" s="2242"/>
      <c r="FEJ169" s="1360"/>
      <c r="FEK169" s="955"/>
      <c r="FEL169" s="1361"/>
      <c r="FEM169" s="1360"/>
      <c r="FEN169" s="1925"/>
      <c r="FEO169" s="955"/>
      <c r="FEP169" s="963"/>
      <c r="FEQ169" s="2242"/>
      <c r="FER169" s="1360"/>
      <c r="FES169" s="955"/>
      <c r="FET169" s="1361"/>
      <c r="FEU169" s="1360"/>
      <c r="FEV169" s="1925"/>
      <c r="FEW169" s="955"/>
      <c r="FEX169" s="963"/>
      <c r="FEY169" s="2242"/>
      <c r="FEZ169" s="1360"/>
      <c r="FFA169" s="955"/>
      <c r="FFB169" s="1361"/>
      <c r="FFC169" s="1360"/>
      <c r="FFD169" s="1925"/>
      <c r="FFE169" s="955"/>
      <c r="FFF169" s="963"/>
      <c r="FFG169" s="2242"/>
      <c r="FFH169" s="1360"/>
      <c r="FFI169" s="955"/>
      <c r="FFJ169" s="1361"/>
      <c r="FFK169" s="1360"/>
      <c r="FFL169" s="1925"/>
      <c r="FFM169" s="955"/>
      <c r="FFN169" s="963"/>
      <c r="FFO169" s="2242"/>
      <c r="FFP169" s="1360"/>
      <c r="FFQ169" s="955"/>
      <c r="FFR169" s="1361"/>
      <c r="FFS169" s="1360"/>
      <c r="FFT169" s="1925"/>
      <c r="FFU169" s="955"/>
      <c r="FFV169" s="963"/>
      <c r="FFW169" s="2242"/>
      <c r="FFX169" s="1360"/>
      <c r="FFY169" s="955"/>
      <c r="FFZ169" s="1361"/>
      <c r="FGA169" s="1360"/>
      <c r="FGB169" s="1925"/>
      <c r="FGC169" s="955"/>
      <c r="FGD169" s="963"/>
      <c r="FGE169" s="2242"/>
      <c r="FGF169" s="1360"/>
      <c r="FGG169" s="955"/>
      <c r="FGH169" s="1361"/>
      <c r="FGI169" s="1360"/>
      <c r="FGJ169" s="1925"/>
      <c r="FGK169" s="955"/>
      <c r="FGL169" s="963"/>
      <c r="FGM169" s="2242"/>
      <c r="FGN169" s="1360"/>
      <c r="FGO169" s="955"/>
      <c r="FGP169" s="1361"/>
      <c r="FGQ169" s="1360"/>
      <c r="FGR169" s="1925"/>
      <c r="FGS169" s="955"/>
      <c r="FGT169" s="963"/>
      <c r="FGU169" s="2242"/>
      <c r="FGV169" s="1360"/>
      <c r="FGW169" s="955"/>
      <c r="FGX169" s="1361"/>
      <c r="FGY169" s="1360"/>
      <c r="FGZ169" s="1925"/>
      <c r="FHA169" s="955"/>
      <c r="FHB169" s="963"/>
      <c r="FHC169" s="2242"/>
      <c r="FHD169" s="1360"/>
      <c r="FHE169" s="955"/>
      <c r="FHF169" s="1361"/>
      <c r="FHG169" s="1360"/>
      <c r="FHH169" s="1925"/>
      <c r="FHI169" s="955"/>
      <c r="FHJ169" s="963"/>
      <c r="FHK169" s="2242"/>
      <c r="FHL169" s="1360"/>
      <c r="FHM169" s="955"/>
      <c r="FHN169" s="1361"/>
      <c r="FHO169" s="1360"/>
      <c r="FHP169" s="1925"/>
      <c r="FHQ169" s="955"/>
      <c r="FHR169" s="963"/>
      <c r="FHS169" s="2242"/>
      <c r="FHT169" s="1360"/>
      <c r="FHU169" s="955"/>
      <c r="FHV169" s="1361"/>
      <c r="FHW169" s="1360"/>
      <c r="FHX169" s="1925"/>
      <c r="FHY169" s="955"/>
      <c r="FHZ169" s="963"/>
      <c r="FIA169" s="2242"/>
      <c r="FIB169" s="1360"/>
      <c r="FIC169" s="955"/>
      <c r="FID169" s="1361"/>
      <c r="FIE169" s="1360"/>
      <c r="FIF169" s="1925"/>
      <c r="FIG169" s="955"/>
      <c r="FIH169" s="963"/>
      <c r="FII169" s="2242"/>
      <c r="FIJ169" s="1360"/>
      <c r="FIK169" s="955"/>
      <c r="FIL169" s="1361"/>
      <c r="FIM169" s="1360"/>
      <c r="FIN169" s="1925"/>
      <c r="FIO169" s="955"/>
      <c r="FIP169" s="963"/>
      <c r="FIQ169" s="2242"/>
      <c r="FIR169" s="1360"/>
      <c r="FIS169" s="955"/>
      <c r="FIT169" s="1361"/>
      <c r="FIU169" s="1360"/>
      <c r="FIV169" s="1925"/>
      <c r="FIW169" s="955"/>
      <c r="FIX169" s="963"/>
      <c r="FIY169" s="2242"/>
      <c r="FIZ169" s="1360"/>
      <c r="FJA169" s="955"/>
      <c r="FJB169" s="1361"/>
      <c r="FJC169" s="1360"/>
      <c r="FJD169" s="1925"/>
      <c r="FJE169" s="955"/>
      <c r="FJF169" s="963"/>
      <c r="FJG169" s="2242"/>
      <c r="FJH169" s="1360"/>
      <c r="FJI169" s="955"/>
      <c r="FJJ169" s="1361"/>
      <c r="FJK169" s="1360"/>
      <c r="FJL169" s="1925"/>
      <c r="FJM169" s="955"/>
      <c r="FJN169" s="963"/>
      <c r="FJO169" s="2242"/>
      <c r="FJP169" s="1360"/>
      <c r="FJQ169" s="955"/>
      <c r="FJR169" s="1361"/>
      <c r="FJS169" s="1360"/>
      <c r="FJT169" s="1925"/>
      <c r="FJU169" s="955"/>
      <c r="FJV169" s="963"/>
      <c r="FJW169" s="2242"/>
      <c r="FJX169" s="1360"/>
      <c r="FJY169" s="955"/>
      <c r="FJZ169" s="1361"/>
      <c r="FKA169" s="1360"/>
      <c r="FKB169" s="1925"/>
      <c r="FKC169" s="955"/>
      <c r="FKD169" s="963"/>
      <c r="FKE169" s="2242"/>
      <c r="FKF169" s="1360"/>
      <c r="FKG169" s="955"/>
      <c r="FKH169" s="1361"/>
      <c r="FKI169" s="1360"/>
      <c r="FKJ169" s="1925"/>
      <c r="FKK169" s="955"/>
      <c r="FKL169" s="963"/>
      <c r="FKM169" s="2242"/>
      <c r="FKN169" s="1360"/>
      <c r="FKO169" s="955"/>
      <c r="FKP169" s="1361"/>
      <c r="FKQ169" s="1360"/>
      <c r="FKR169" s="1925"/>
      <c r="FKS169" s="955"/>
      <c r="FKT169" s="963"/>
      <c r="FKU169" s="2242"/>
      <c r="FKV169" s="1360"/>
      <c r="FKW169" s="955"/>
      <c r="FKX169" s="1361"/>
      <c r="FKY169" s="1360"/>
      <c r="FKZ169" s="1925"/>
      <c r="FLA169" s="955"/>
      <c r="FLB169" s="963"/>
      <c r="FLC169" s="2242"/>
      <c r="FLD169" s="1360"/>
      <c r="FLE169" s="955"/>
      <c r="FLF169" s="1361"/>
      <c r="FLG169" s="1360"/>
      <c r="FLH169" s="1925"/>
      <c r="FLI169" s="955"/>
      <c r="FLJ169" s="963"/>
      <c r="FLK169" s="2242"/>
      <c r="FLL169" s="1360"/>
      <c r="FLM169" s="955"/>
      <c r="FLN169" s="1361"/>
      <c r="FLO169" s="1360"/>
      <c r="FLP169" s="1925"/>
      <c r="FLQ169" s="955"/>
      <c r="FLR169" s="963"/>
      <c r="FLS169" s="2242"/>
      <c r="FLT169" s="1360"/>
      <c r="FLU169" s="955"/>
      <c r="FLV169" s="1361"/>
      <c r="FLW169" s="1360"/>
      <c r="FLX169" s="1925"/>
      <c r="FLY169" s="955"/>
      <c r="FLZ169" s="963"/>
      <c r="FMA169" s="2242"/>
      <c r="FMB169" s="1360"/>
      <c r="FMC169" s="955"/>
      <c r="FMD169" s="1361"/>
      <c r="FME169" s="1360"/>
      <c r="FMF169" s="1925"/>
      <c r="FMG169" s="955"/>
      <c r="FMH169" s="963"/>
      <c r="FMI169" s="2242"/>
      <c r="FMJ169" s="1360"/>
      <c r="FMK169" s="955"/>
      <c r="FML169" s="1361"/>
      <c r="FMM169" s="1360"/>
      <c r="FMN169" s="1925"/>
      <c r="FMO169" s="955"/>
      <c r="FMP169" s="963"/>
      <c r="FMQ169" s="2242"/>
      <c r="FMR169" s="1360"/>
      <c r="FMS169" s="955"/>
      <c r="FMT169" s="1361"/>
      <c r="FMU169" s="1360"/>
      <c r="FMV169" s="1925"/>
      <c r="FMW169" s="955"/>
      <c r="FMX169" s="963"/>
      <c r="FMY169" s="2242"/>
      <c r="FMZ169" s="1360"/>
      <c r="FNA169" s="955"/>
      <c r="FNB169" s="1361"/>
      <c r="FNC169" s="1360"/>
      <c r="FND169" s="1925"/>
      <c r="FNE169" s="955"/>
      <c r="FNF169" s="963"/>
      <c r="FNG169" s="2242"/>
      <c r="FNH169" s="1360"/>
      <c r="FNI169" s="955"/>
      <c r="FNJ169" s="1361"/>
      <c r="FNK169" s="1360"/>
      <c r="FNL169" s="1925"/>
      <c r="FNM169" s="955"/>
      <c r="FNN169" s="963"/>
      <c r="FNO169" s="2242"/>
      <c r="FNP169" s="1360"/>
      <c r="FNQ169" s="955"/>
      <c r="FNR169" s="1361"/>
      <c r="FNS169" s="1360"/>
      <c r="FNT169" s="1925"/>
      <c r="FNU169" s="955"/>
      <c r="FNV169" s="963"/>
      <c r="FNW169" s="2242"/>
      <c r="FNX169" s="1360"/>
      <c r="FNY169" s="955"/>
      <c r="FNZ169" s="1361"/>
      <c r="FOA169" s="1360"/>
      <c r="FOB169" s="1925"/>
      <c r="FOC169" s="955"/>
      <c r="FOD169" s="963"/>
      <c r="FOE169" s="2242"/>
      <c r="FOF169" s="1360"/>
      <c r="FOG169" s="955"/>
      <c r="FOH169" s="1361"/>
      <c r="FOI169" s="1360"/>
      <c r="FOJ169" s="1925"/>
      <c r="FOK169" s="955"/>
      <c r="FOL169" s="963"/>
      <c r="FOM169" s="2242"/>
      <c r="FON169" s="1360"/>
      <c r="FOO169" s="955"/>
      <c r="FOP169" s="1361"/>
      <c r="FOQ169" s="1360"/>
      <c r="FOR169" s="1925"/>
      <c r="FOS169" s="955"/>
      <c r="FOT169" s="963"/>
      <c r="FOU169" s="2242"/>
      <c r="FOV169" s="1360"/>
      <c r="FOW169" s="955"/>
      <c r="FOX169" s="1361"/>
      <c r="FOY169" s="1360"/>
      <c r="FOZ169" s="1925"/>
      <c r="FPA169" s="955"/>
      <c r="FPB169" s="963"/>
      <c r="FPC169" s="2242"/>
      <c r="FPD169" s="1360"/>
      <c r="FPE169" s="955"/>
      <c r="FPF169" s="1361"/>
      <c r="FPG169" s="1360"/>
      <c r="FPH169" s="1925"/>
      <c r="FPI169" s="955"/>
      <c r="FPJ169" s="963"/>
      <c r="FPK169" s="2242"/>
      <c r="FPL169" s="1360"/>
      <c r="FPM169" s="955"/>
      <c r="FPN169" s="1361"/>
      <c r="FPO169" s="1360"/>
      <c r="FPP169" s="1925"/>
      <c r="FPQ169" s="955"/>
      <c r="FPR169" s="963"/>
      <c r="FPS169" s="2242"/>
      <c r="FPT169" s="1360"/>
      <c r="FPU169" s="955"/>
      <c r="FPV169" s="1361"/>
      <c r="FPW169" s="1360"/>
      <c r="FPX169" s="1925"/>
      <c r="FPY169" s="955"/>
      <c r="FPZ169" s="963"/>
      <c r="FQA169" s="2242"/>
      <c r="FQB169" s="1360"/>
      <c r="FQC169" s="955"/>
      <c r="FQD169" s="1361"/>
      <c r="FQE169" s="1360"/>
      <c r="FQF169" s="1925"/>
      <c r="FQG169" s="955"/>
      <c r="FQH169" s="963"/>
      <c r="FQI169" s="2242"/>
      <c r="FQJ169" s="1360"/>
      <c r="FQK169" s="955"/>
      <c r="FQL169" s="1361"/>
      <c r="FQM169" s="1360"/>
      <c r="FQN169" s="1925"/>
      <c r="FQO169" s="955"/>
      <c r="FQP169" s="963"/>
      <c r="FQQ169" s="2242"/>
      <c r="FQR169" s="1360"/>
      <c r="FQS169" s="955"/>
      <c r="FQT169" s="1361"/>
      <c r="FQU169" s="1360"/>
      <c r="FQV169" s="1925"/>
      <c r="FQW169" s="955"/>
      <c r="FQX169" s="963"/>
      <c r="FQY169" s="2242"/>
      <c r="FQZ169" s="1360"/>
      <c r="FRA169" s="955"/>
      <c r="FRB169" s="1361"/>
      <c r="FRC169" s="1360"/>
      <c r="FRD169" s="1925"/>
      <c r="FRE169" s="955"/>
      <c r="FRF169" s="963"/>
      <c r="FRG169" s="2242"/>
      <c r="FRH169" s="1360"/>
      <c r="FRI169" s="955"/>
      <c r="FRJ169" s="1361"/>
      <c r="FRK169" s="1360"/>
      <c r="FRL169" s="1925"/>
      <c r="FRM169" s="955"/>
      <c r="FRN169" s="963"/>
      <c r="FRO169" s="2242"/>
      <c r="FRP169" s="1360"/>
      <c r="FRQ169" s="955"/>
      <c r="FRR169" s="1361"/>
      <c r="FRS169" s="1360"/>
      <c r="FRT169" s="1925"/>
      <c r="FRU169" s="955"/>
      <c r="FRV169" s="963"/>
      <c r="FRW169" s="2242"/>
      <c r="FRX169" s="1360"/>
      <c r="FRY169" s="955"/>
      <c r="FRZ169" s="1361"/>
      <c r="FSA169" s="1360"/>
      <c r="FSB169" s="1925"/>
      <c r="FSC169" s="955"/>
      <c r="FSD169" s="963"/>
      <c r="FSE169" s="2242"/>
      <c r="FSF169" s="1360"/>
      <c r="FSG169" s="955"/>
      <c r="FSH169" s="1361"/>
      <c r="FSI169" s="1360"/>
      <c r="FSJ169" s="1925"/>
      <c r="FSK169" s="955"/>
      <c r="FSL169" s="963"/>
      <c r="FSM169" s="2242"/>
      <c r="FSN169" s="1360"/>
      <c r="FSO169" s="955"/>
      <c r="FSP169" s="1361"/>
      <c r="FSQ169" s="1360"/>
      <c r="FSR169" s="1925"/>
      <c r="FSS169" s="955"/>
      <c r="FST169" s="963"/>
      <c r="FSU169" s="2242"/>
      <c r="FSV169" s="1360"/>
      <c r="FSW169" s="955"/>
      <c r="FSX169" s="1361"/>
      <c r="FSY169" s="1360"/>
      <c r="FSZ169" s="1925"/>
      <c r="FTA169" s="955"/>
      <c r="FTB169" s="963"/>
      <c r="FTC169" s="2242"/>
      <c r="FTD169" s="1360"/>
      <c r="FTE169" s="955"/>
      <c r="FTF169" s="1361"/>
      <c r="FTG169" s="1360"/>
      <c r="FTH169" s="1925"/>
      <c r="FTI169" s="955"/>
      <c r="FTJ169" s="963"/>
      <c r="FTK169" s="2242"/>
      <c r="FTL169" s="1360"/>
      <c r="FTM169" s="955"/>
      <c r="FTN169" s="1361"/>
      <c r="FTO169" s="1360"/>
      <c r="FTP169" s="1925"/>
      <c r="FTQ169" s="955"/>
      <c r="FTR169" s="963"/>
      <c r="FTS169" s="2242"/>
      <c r="FTT169" s="1360"/>
      <c r="FTU169" s="955"/>
      <c r="FTV169" s="1361"/>
      <c r="FTW169" s="1360"/>
      <c r="FTX169" s="1925"/>
      <c r="FTY169" s="955"/>
      <c r="FTZ169" s="963"/>
      <c r="FUA169" s="2242"/>
      <c r="FUB169" s="1360"/>
      <c r="FUC169" s="955"/>
      <c r="FUD169" s="1361"/>
      <c r="FUE169" s="1360"/>
      <c r="FUF169" s="1925"/>
      <c r="FUG169" s="955"/>
      <c r="FUH169" s="963"/>
      <c r="FUI169" s="2242"/>
      <c r="FUJ169" s="1360"/>
      <c r="FUK169" s="955"/>
      <c r="FUL169" s="1361"/>
      <c r="FUM169" s="1360"/>
      <c r="FUN169" s="1925"/>
      <c r="FUO169" s="955"/>
      <c r="FUP169" s="963"/>
      <c r="FUQ169" s="2242"/>
      <c r="FUR169" s="1360"/>
      <c r="FUS169" s="955"/>
      <c r="FUT169" s="1361"/>
      <c r="FUU169" s="1360"/>
      <c r="FUV169" s="1925"/>
      <c r="FUW169" s="955"/>
      <c r="FUX169" s="963"/>
      <c r="FUY169" s="2242"/>
      <c r="FUZ169" s="1360"/>
      <c r="FVA169" s="955"/>
      <c r="FVB169" s="1361"/>
      <c r="FVC169" s="1360"/>
      <c r="FVD169" s="1925"/>
      <c r="FVE169" s="955"/>
      <c r="FVF169" s="963"/>
      <c r="FVG169" s="2242"/>
      <c r="FVH169" s="1360"/>
      <c r="FVI169" s="955"/>
      <c r="FVJ169" s="1361"/>
      <c r="FVK169" s="1360"/>
      <c r="FVL169" s="1925"/>
      <c r="FVM169" s="955"/>
      <c r="FVN169" s="963"/>
      <c r="FVO169" s="2242"/>
      <c r="FVP169" s="1360"/>
      <c r="FVQ169" s="955"/>
      <c r="FVR169" s="1361"/>
      <c r="FVS169" s="1360"/>
      <c r="FVT169" s="1925"/>
      <c r="FVU169" s="955"/>
      <c r="FVV169" s="963"/>
      <c r="FVW169" s="2242"/>
      <c r="FVX169" s="1360"/>
      <c r="FVY169" s="955"/>
      <c r="FVZ169" s="1361"/>
      <c r="FWA169" s="1360"/>
      <c r="FWB169" s="1925"/>
      <c r="FWC169" s="955"/>
      <c r="FWD169" s="963"/>
      <c r="FWE169" s="2242"/>
      <c r="FWF169" s="1360"/>
      <c r="FWG169" s="955"/>
      <c r="FWH169" s="1361"/>
      <c r="FWI169" s="1360"/>
      <c r="FWJ169" s="1925"/>
      <c r="FWK169" s="955"/>
      <c r="FWL169" s="963"/>
      <c r="FWM169" s="2242"/>
      <c r="FWN169" s="1360"/>
      <c r="FWO169" s="955"/>
      <c r="FWP169" s="1361"/>
      <c r="FWQ169" s="1360"/>
      <c r="FWR169" s="1925"/>
      <c r="FWS169" s="955"/>
      <c r="FWT169" s="963"/>
      <c r="FWU169" s="2242"/>
      <c r="FWV169" s="1360"/>
      <c r="FWW169" s="955"/>
      <c r="FWX169" s="1361"/>
      <c r="FWY169" s="1360"/>
      <c r="FWZ169" s="1925"/>
      <c r="FXA169" s="955"/>
      <c r="FXB169" s="963"/>
      <c r="FXC169" s="2242"/>
      <c r="FXD169" s="1360"/>
      <c r="FXE169" s="955"/>
      <c r="FXF169" s="1361"/>
      <c r="FXG169" s="1360"/>
      <c r="FXH169" s="1925"/>
      <c r="FXI169" s="955"/>
      <c r="FXJ169" s="963"/>
      <c r="FXK169" s="2242"/>
      <c r="FXL169" s="1360"/>
      <c r="FXM169" s="955"/>
      <c r="FXN169" s="1361"/>
      <c r="FXO169" s="1360"/>
      <c r="FXP169" s="1925"/>
      <c r="FXQ169" s="955"/>
      <c r="FXR169" s="963"/>
      <c r="FXS169" s="2242"/>
      <c r="FXT169" s="1360"/>
      <c r="FXU169" s="955"/>
      <c r="FXV169" s="1361"/>
      <c r="FXW169" s="1360"/>
      <c r="FXX169" s="1925"/>
      <c r="FXY169" s="955"/>
      <c r="FXZ169" s="963"/>
      <c r="FYA169" s="2242"/>
      <c r="FYB169" s="1360"/>
      <c r="FYC169" s="955"/>
      <c r="FYD169" s="1361"/>
      <c r="FYE169" s="1360"/>
      <c r="FYF169" s="1925"/>
      <c r="FYG169" s="955"/>
      <c r="FYH169" s="963"/>
      <c r="FYI169" s="2242"/>
      <c r="FYJ169" s="1360"/>
      <c r="FYK169" s="955"/>
      <c r="FYL169" s="1361"/>
      <c r="FYM169" s="1360"/>
      <c r="FYN169" s="1925"/>
      <c r="FYO169" s="955"/>
      <c r="FYP169" s="963"/>
      <c r="FYQ169" s="2242"/>
      <c r="FYR169" s="1360"/>
      <c r="FYS169" s="955"/>
      <c r="FYT169" s="1361"/>
      <c r="FYU169" s="1360"/>
      <c r="FYV169" s="1925"/>
      <c r="FYW169" s="955"/>
      <c r="FYX169" s="963"/>
      <c r="FYY169" s="2242"/>
      <c r="FYZ169" s="1360"/>
      <c r="FZA169" s="955"/>
      <c r="FZB169" s="1361"/>
      <c r="FZC169" s="1360"/>
      <c r="FZD169" s="1925"/>
      <c r="FZE169" s="955"/>
      <c r="FZF169" s="963"/>
      <c r="FZG169" s="2242"/>
      <c r="FZH169" s="1360"/>
      <c r="FZI169" s="955"/>
      <c r="FZJ169" s="1361"/>
      <c r="FZK169" s="1360"/>
      <c r="FZL169" s="1925"/>
      <c r="FZM169" s="955"/>
      <c r="FZN169" s="963"/>
      <c r="FZO169" s="2242"/>
      <c r="FZP169" s="1360"/>
      <c r="FZQ169" s="955"/>
      <c r="FZR169" s="1361"/>
      <c r="FZS169" s="1360"/>
      <c r="FZT169" s="1925"/>
      <c r="FZU169" s="955"/>
      <c r="FZV169" s="963"/>
      <c r="FZW169" s="2242"/>
      <c r="FZX169" s="1360"/>
      <c r="FZY169" s="955"/>
      <c r="FZZ169" s="1361"/>
      <c r="GAA169" s="1360"/>
      <c r="GAB169" s="1925"/>
      <c r="GAC169" s="955"/>
      <c r="GAD169" s="963"/>
      <c r="GAE169" s="2242"/>
      <c r="GAF169" s="1360"/>
      <c r="GAG169" s="955"/>
      <c r="GAH169" s="1361"/>
      <c r="GAI169" s="1360"/>
      <c r="GAJ169" s="1925"/>
      <c r="GAK169" s="955"/>
      <c r="GAL169" s="963"/>
      <c r="GAM169" s="2242"/>
      <c r="GAN169" s="1360"/>
      <c r="GAO169" s="955"/>
      <c r="GAP169" s="1361"/>
      <c r="GAQ169" s="1360"/>
      <c r="GAR169" s="1925"/>
      <c r="GAS169" s="955"/>
      <c r="GAT169" s="963"/>
      <c r="GAU169" s="2242"/>
      <c r="GAV169" s="1360"/>
      <c r="GAW169" s="955"/>
      <c r="GAX169" s="1361"/>
      <c r="GAY169" s="1360"/>
      <c r="GAZ169" s="1925"/>
      <c r="GBA169" s="955"/>
      <c r="GBB169" s="963"/>
      <c r="GBC169" s="2242"/>
      <c r="GBD169" s="1360"/>
      <c r="GBE169" s="955"/>
      <c r="GBF169" s="1361"/>
      <c r="GBG169" s="1360"/>
      <c r="GBH169" s="1925"/>
      <c r="GBI169" s="955"/>
      <c r="GBJ169" s="963"/>
      <c r="GBK169" s="2242"/>
      <c r="GBL169" s="1360"/>
      <c r="GBM169" s="955"/>
      <c r="GBN169" s="1361"/>
      <c r="GBO169" s="1360"/>
      <c r="GBP169" s="1925"/>
      <c r="GBQ169" s="955"/>
      <c r="GBR169" s="963"/>
      <c r="GBS169" s="2242"/>
      <c r="GBT169" s="1360"/>
      <c r="GBU169" s="955"/>
      <c r="GBV169" s="1361"/>
      <c r="GBW169" s="1360"/>
      <c r="GBX169" s="1925"/>
      <c r="GBY169" s="955"/>
      <c r="GBZ169" s="963"/>
      <c r="GCA169" s="2242"/>
      <c r="GCB169" s="1360"/>
      <c r="GCC169" s="955"/>
      <c r="GCD169" s="1361"/>
      <c r="GCE169" s="1360"/>
      <c r="GCF169" s="1925"/>
      <c r="GCG169" s="955"/>
      <c r="GCH169" s="963"/>
      <c r="GCI169" s="2242"/>
      <c r="GCJ169" s="1360"/>
      <c r="GCK169" s="955"/>
      <c r="GCL169" s="1361"/>
      <c r="GCM169" s="1360"/>
      <c r="GCN169" s="1925"/>
      <c r="GCO169" s="955"/>
      <c r="GCP169" s="963"/>
      <c r="GCQ169" s="2242"/>
      <c r="GCR169" s="1360"/>
      <c r="GCS169" s="955"/>
      <c r="GCT169" s="1361"/>
      <c r="GCU169" s="1360"/>
      <c r="GCV169" s="1925"/>
      <c r="GCW169" s="955"/>
      <c r="GCX169" s="963"/>
      <c r="GCY169" s="2242"/>
      <c r="GCZ169" s="1360"/>
      <c r="GDA169" s="955"/>
      <c r="GDB169" s="1361"/>
      <c r="GDC169" s="1360"/>
      <c r="GDD169" s="1925"/>
      <c r="GDE169" s="955"/>
      <c r="GDF169" s="963"/>
      <c r="GDG169" s="2242"/>
      <c r="GDH169" s="1360"/>
      <c r="GDI169" s="955"/>
      <c r="GDJ169" s="1361"/>
      <c r="GDK169" s="1360"/>
      <c r="GDL169" s="1925"/>
      <c r="GDM169" s="955"/>
      <c r="GDN169" s="963"/>
      <c r="GDO169" s="2242"/>
      <c r="GDP169" s="1360"/>
      <c r="GDQ169" s="955"/>
      <c r="GDR169" s="1361"/>
      <c r="GDS169" s="1360"/>
      <c r="GDT169" s="1925"/>
      <c r="GDU169" s="955"/>
      <c r="GDV169" s="963"/>
      <c r="GDW169" s="2242"/>
      <c r="GDX169" s="1360"/>
      <c r="GDY169" s="955"/>
      <c r="GDZ169" s="1361"/>
      <c r="GEA169" s="1360"/>
      <c r="GEB169" s="1925"/>
      <c r="GEC169" s="955"/>
      <c r="GED169" s="963"/>
      <c r="GEE169" s="2242"/>
      <c r="GEF169" s="1360"/>
      <c r="GEG169" s="955"/>
      <c r="GEH169" s="1361"/>
      <c r="GEI169" s="1360"/>
      <c r="GEJ169" s="1925"/>
      <c r="GEK169" s="955"/>
      <c r="GEL169" s="963"/>
      <c r="GEM169" s="2242"/>
      <c r="GEN169" s="1360"/>
      <c r="GEO169" s="955"/>
      <c r="GEP169" s="1361"/>
      <c r="GEQ169" s="1360"/>
      <c r="GER169" s="1925"/>
      <c r="GES169" s="955"/>
      <c r="GET169" s="963"/>
      <c r="GEU169" s="2242"/>
      <c r="GEV169" s="1360"/>
      <c r="GEW169" s="955"/>
      <c r="GEX169" s="1361"/>
      <c r="GEY169" s="1360"/>
      <c r="GEZ169" s="1925"/>
      <c r="GFA169" s="955"/>
      <c r="GFB169" s="963"/>
      <c r="GFC169" s="2242"/>
      <c r="GFD169" s="1360"/>
      <c r="GFE169" s="955"/>
      <c r="GFF169" s="1361"/>
      <c r="GFG169" s="1360"/>
      <c r="GFH169" s="1925"/>
      <c r="GFI169" s="955"/>
      <c r="GFJ169" s="963"/>
      <c r="GFK169" s="2242"/>
      <c r="GFL169" s="1360"/>
      <c r="GFM169" s="955"/>
      <c r="GFN169" s="1361"/>
      <c r="GFO169" s="1360"/>
      <c r="GFP169" s="1925"/>
      <c r="GFQ169" s="955"/>
      <c r="GFR169" s="963"/>
      <c r="GFS169" s="2242"/>
      <c r="GFT169" s="1360"/>
      <c r="GFU169" s="955"/>
      <c r="GFV169" s="1361"/>
      <c r="GFW169" s="1360"/>
      <c r="GFX169" s="1925"/>
      <c r="GFY169" s="955"/>
      <c r="GFZ169" s="963"/>
      <c r="GGA169" s="2242"/>
      <c r="GGB169" s="1360"/>
      <c r="GGC169" s="955"/>
      <c r="GGD169" s="1361"/>
      <c r="GGE169" s="1360"/>
      <c r="GGF169" s="1925"/>
      <c r="GGG169" s="955"/>
      <c r="GGH169" s="963"/>
      <c r="GGI169" s="2242"/>
      <c r="GGJ169" s="1360"/>
      <c r="GGK169" s="955"/>
      <c r="GGL169" s="1361"/>
      <c r="GGM169" s="1360"/>
      <c r="GGN169" s="1925"/>
      <c r="GGO169" s="955"/>
      <c r="GGP169" s="963"/>
      <c r="GGQ169" s="2242"/>
      <c r="GGR169" s="1360"/>
      <c r="GGS169" s="955"/>
      <c r="GGT169" s="1361"/>
      <c r="GGU169" s="1360"/>
      <c r="GGV169" s="1925"/>
      <c r="GGW169" s="955"/>
      <c r="GGX169" s="963"/>
      <c r="GGY169" s="2242"/>
      <c r="GGZ169" s="1360"/>
      <c r="GHA169" s="955"/>
      <c r="GHB169" s="1361"/>
      <c r="GHC169" s="1360"/>
      <c r="GHD169" s="1925"/>
      <c r="GHE169" s="955"/>
      <c r="GHF169" s="963"/>
      <c r="GHG169" s="2242"/>
      <c r="GHH169" s="1360"/>
      <c r="GHI169" s="955"/>
      <c r="GHJ169" s="1361"/>
      <c r="GHK169" s="1360"/>
      <c r="GHL169" s="1925"/>
      <c r="GHM169" s="955"/>
      <c r="GHN169" s="963"/>
      <c r="GHO169" s="2242"/>
      <c r="GHP169" s="1360"/>
      <c r="GHQ169" s="955"/>
      <c r="GHR169" s="1361"/>
      <c r="GHS169" s="1360"/>
      <c r="GHT169" s="1925"/>
      <c r="GHU169" s="955"/>
      <c r="GHV169" s="963"/>
      <c r="GHW169" s="2242"/>
      <c r="GHX169" s="1360"/>
      <c r="GHY169" s="955"/>
      <c r="GHZ169" s="1361"/>
      <c r="GIA169" s="1360"/>
      <c r="GIB169" s="1925"/>
      <c r="GIC169" s="955"/>
      <c r="GID169" s="963"/>
      <c r="GIE169" s="2242"/>
      <c r="GIF169" s="1360"/>
      <c r="GIG169" s="955"/>
      <c r="GIH169" s="1361"/>
      <c r="GII169" s="1360"/>
      <c r="GIJ169" s="1925"/>
      <c r="GIK169" s="955"/>
      <c r="GIL169" s="963"/>
      <c r="GIM169" s="2242"/>
      <c r="GIN169" s="1360"/>
      <c r="GIO169" s="955"/>
      <c r="GIP169" s="1361"/>
      <c r="GIQ169" s="1360"/>
      <c r="GIR169" s="1925"/>
      <c r="GIS169" s="955"/>
      <c r="GIT169" s="963"/>
      <c r="GIU169" s="2242"/>
      <c r="GIV169" s="1360"/>
      <c r="GIW169" s="955"/>
      <c r="GIX169" s="1361"/>
      <c r="GIY169" s="1360"/>
      <c r="GIZ169" s="1925"/>
      <c r="GJA169" s="955"/>
      <c r="GJB169" s="963"/>
      <c r="GJC169" s="2242"/>
      <c r="GJD169" s="1360"/>
      <c r="GJE169" s="955"/>
      <c r="GJF169" s="1361"/>
      <c r="GJG169" s="1360"/>
      <c r="GJH169" s="1925"/>
      <c r="GJI169" s="955"/>
      <c r="GJJ169" s="963"/>
      <c r="GJK169" s="2242"/>
      <c r="GJL169" s="1360"/>
      <c r="GJM169" s="955"/>
      <c r="GJN169" s="1361"/>
      <c r="GJO169" s="1360"/>
      <c r="GJP169" s="1925"/>
      <c r="GJQ169" s="955"/>
      <c r="GJR169" s="963"/>
      <c r="GJS169" s="2242"/>
      <c r="GJT169" s="1360"/>
      <c r="GJU169" s="955"/>
      <c r="GJV169" s="1361"/>
      <c r="GJW169" s="1360"/>
      <c r="GJX169" s="1925"/>
      <c r="GJY169" s="955"/>
      <c r="GJZ169" s="963"/>
      <c r="GKA169" s="2242"/>
      <c r="GKB169" s="1360"/>
      <c r="GKC169" s="955"/>
      <c r="GKD169" s="1361"/>
      <c r="GKE169" s="1360"/>
      <c r="GKF169" s="1925"/>
      <c r="GKG169" s="955"/>
      <c r="GKH169" s="963"/>
      <c r="GKI169" s="2242"/>
      <c r="GKJ169" s="1360"/>
      <c r="GKK169" s="955"/>
      <c r="GKL169" s="1361"/>
      <c r="GKM169" s="1360"/>
      <c r="GKN169" s="1925"/>
      <c r="GKO169" s="955"/>
      <c r="GKP169" s="963"/>
      <c r="GKQ169" s="2242"/>
      <c r="GKR169" s="1360"/>
      <c r="GKS169" s="955"/>
      <c r="GKT169" s="1361"/>
      <c r="GKU169" s="1360"/>
      <c r="GKV169" s="1925"/>
      <c r="GKW169" s="955"/>
      <c r="GKX169" s="963"/>
      <c r="GKY169" s="2242"/>
      <c r="GKZ169" s="1360"/>
      <c r="GLA169" s="955"/>
      <c r="GLB169" s="1361"/>
      <c r="GLC169" s="1360"/>
      <c r="GLD169" s="1925"/>
      <c r="GLE169" s="955"/>
      <c r="GLF169" s="963"/>
      <c r="GLG169" s="2242"/>
      <c r="GLH169" s="1360"/>
      <c r="GLI169" s="955"/>
      <c r="GLJ169" s="1361"/>
      <c r="GLK169" s="1360"/>
      <c r="GLL169" s="1925"/>
      <c r="GLM169" s="955"/>
      <c r="GLN169" s="963"/>
      <c r="GLO169" s="2242"/>
      <c r="GLP169" s="1360"/>
      <c r="GLQ169" s="955"/>
      <c r="GLR169" s="1361"/>
      <c r="GLS169" s="1360"/>
      <c r="GLT169" s="1925"/>
      <c r="GLU169" s="955"/>
      <c r="GLV169" s="963"/>
      <c r="GLW169" s="2242"/>
      <c r="GLX169" s="1360"/>
      <c r="GLY169" s="955"/>
      <c r="GLZ169" s="1361"/>
      <c r="GMA169" s="1360"/>
      <c r="GMB169" s="1925"/>
      <c r="GMC169" s="955"/>
      <c r="GMD169" s="963"/>
      <c r="GME169" s="2242"/>
      <c r="GMF169" s="1360"/>
      <c r="GMG169" s="955"/>
      <c r="GMH169" s="1361"/>
      <c r="GMI169" s="1360"/>
      <c r="GMJ169" s="1925"/>
      <c r="GMK169" s="955"/>
      <c r="GML169" s="963"/>
      <c r="GMM169" s="2242"/>
      <c r="GMN169" s="1360"/>
      <c r="GMO169" s="955"/>
      <c r="GMP169" s="1361"/>
      <c r="GMQ169" s="1360"/>
      <c r="GMR169" s="1925"/>
      <c r="GMS169" s="955"/>
      <c r="GMT169" s="963"/>
      <c r="GMU169" s="2242"/>
      <c r="GMV169" s="1360"/>
      <c r="GMW169" s="955"/>
      <c r="GMX169" s="1361"/>
      <c r="GMY169" s="1360"/>
      <c r="GMZ169" s="1925"/>
      <c r="GNA169" s="955"/>
      <c r="GNB169" s="963"/>
      <c r="GNC169" s="2242"/>
      <c r="GND169" s="1360"/>
      <c r="GNE169" s="955"/>
      <c r="GNF169" s="1361"/>
      <c r="GNG169" s="1360"/>
      <c r="GNH169" s="1925"/>
      <c r="GNI169" s="955"/>
      <c r="GNJ169" s="963"/>
      <c r="GNK169" s="2242"/>
      <c r="GNL169" s="1360"/>
      <c r="GNM169" s="955"/>
      <c r="GNN169" s="1361"/>
      <c r="GNO169" s="1360"/>
      <c r="GNP169" s="1925"/>
      <c r="GNQ169" s="955"/>
      <c r="GNR169" s="963"/>
      <c r="GNS169" s="2242"/>
      <c r="GNT169" s="1360"/>
      <c r="GNU169" s="955"/>
      <c r="GNV169" s="1361"/>
      <c r="GNW169" s="1360"/>
      <c r="GNX169" s="1925"/>
      <c r="GNY169" s="955"/>
      <c r="GNZ169" s="963"/>
      <c r="GOA169" s="2242"/>
      <c r="GOB169" s="1360"/>
      <c r="GOC169" s="955"/>
      <c r="GOD169" s="1361"/>
      <c r="GOE169" s="1360"/>
      <c r="GOF169" s="1925"/>
      <c r="GOG169" s="955"/>
      <c r="GOH169" s="963"/>
      <c r="GOI169" s="2242"/>
      <c r="GOJ169" s="1360"/>
      <c r="GOK169" s="955"/>
      <c r="GOL169" s="1361"/>
      <c r="GOM169" s="1360"/>
      <c r="GON169" s="1925"/>
      <c r="GOO169" s="955"/>
      <c r="GOP169" s="963"/>
      <c r="GOQ169" s="2242"/>
      <c r="GOR169" s="1360"/>
      <c r="GOS169" s="955"/>
      <c r="GOT169" s="1361"/>
      <c r="GOU169" s="1360"/>
      <c r="GOV169" s="1925"/>
      <c r="GOW169" s="955"/>
      <c r="GOX169" s="963"/>
      <c r="GOY169" s="2242"/>
      <c r="GOZ169" s="1360"/>
      <c r="GPA169" s="955"/>
      <c r="GPB169" s="1361"/>
      <c r="GPC169" s="1360"/>
      <c r="GPD169" s="1925"/>
      <c r="GPE169" s="955"/>
      <c r="GPF169" s="963"/>
      <c r="GPG169" s="2242"/>
      <c r="GPH169" s="1360"/>
      <c r="GPI169" s="955"/>
      <c r="GPJ169" s="1361"/>
      <c r="GPK169" s="1360"/>
      <c r="GPL169" s="1925"/>
      <c r="GPM169" s="955"/>
      <c r="GPN169" s="963"/>
      <c r="GPO169" s="2242"/>
      <c r="GPP169" s="1360"/>
      <c r="GPQ169" s="955"/>
      <c r="GPR169" s="1361"/>
      <c r="GPS169" s="1360"/>
      <c r="GPT169" s="1925"/>
      <c r="GPU169" s="955"/>
      <c r="GPV169" s="963"/>
      <c r="GPW169" s="2242"/>
      <c r="GPX169" s="1360"/>
      <c r="GPY169" s="955"/>
      <c r="GPZ169" s="1361"/>
      <c r="GQA169" s="1360"/>
      <c r="GQB169" s="1925"/>
      <c r="GQC169" s="955"/>
      <c r="GQD169" s="963"/>
      <c r="GQE169" s="2242"/>
      <c r="GQF169" s="1360"/>
      <c r="GQG169" s="955"/>
      <c r="GQH169" s="1361"/>
      <c r="GQI169" s="1360"/>
      <c r="GQJ169" s="1925"/>
      <c r="GQK169" s="955"/>
      <c r="GQL169" s="963"/>
      <c r="GQM169" s="2242"/>
      <c r="GQN169" s="1360"/>
      <c r="GQO169" s="955"/>
      <c r="GQP169" s="1361"/>
      <c r="GQQ169" s="1360"/>
      <c r="GQR169" s="1925"/>
      <c r="GQS169" s="955"/>
      <c r="GQT169" s="963"/>
      <c r="GQU169" s="2242"/>
      <c r="GQV169" s="1360"/>
      <c r="GQW169" s="955"/>
      <c r="GQX169" s="1361"/>
      <c r="GQY169" s="1360"/>
      <c r="GQZ169" s="1925"/>
      <c r="GRA169" s="955"/>
      <c r="GRB169" s="963"/>
      <c r="GRC169" s="2242"/>
      <c r="GRD169" s="1360"/>
      <c r="GRE169" s="955"/>
      <c r="GRF169" s="1361"/>
      <c r="GRG169" s="1360"/>
      <c r="GRH169" s="1925"/>
      <c r="GRI169" s="955"/>
      <c r="GRJ169" s="963"/>
      <c r="GRK169" s="2242"/>
      <c r="GRL169" s="1360"/>
      <c r="GRM169" s="955"/>
      <c r="GRN169" s="1361"/>
      <c r="GRO169" s="1360"/>
      <c r="GRP169" s="1925"/>
      <c r="GRQ169" s="955"/>
      <c r="GRR169" s="963"/>
      <c r="GRS169" s="2242"/>
      <c r="GRT169" s="1360"/>
      <c r="GRU169" s="955"/>
      <c r="GRV169" s="1361"/>
      <c r="GRW169" s="1360"/>
      <c r="GRX169" s="1925"/>
      <c r="GRY169" s="955"/>
      <c r="GRZ169" s="963"/>
      <c r="GSA169" s="2242"/>
      <c r="GSB169" s="1360"/>
      <c r="GSC169" s="955"/>
      <c r="GSD169" s="1361"/>
      <c r="GSE169" s="1360"/>
      <c r="GSF169" s="1925"/>
      <c r="GSG169" s="955"/>
      <c r="GSH169" s="963"/>
      <c r="GSI169" s="2242"/>
      <c r="GSJ169" s="1360"/>
      <c r="GSK169" s="955"/>
      <c r="GSL169" s="1361"/>
      <c r="GSM169" s="1360"/>
      <c r="GSN169" s="1925"/>
      <c r="GSO169" s="955"/>
      <c r="GSP169" s="963"/>
      <c r="GSQ169" s="2242"/>
      <c r="GSR169" s="1360"/>
      <c r="GSS169" s="955"/>
      <c r="GST169" s="1361"/>
      <c r="GSU169" s="1360"/>
      <c r="GSV169" s="1925"/>
      <c r="GSW169" s="955"/>
      <c r="GSX169" s="963"/>
      <c r="GSY169" s="2242"/>
      <c r="GSZ169" s="1360"/>
      <c r="GTA169" s="955"/>
      <c r="GTB169" s="1361"/>
      <c r="GTC169" s="1360"/>
      <c r="GTD169" s="1925"/>
      <c r="GTE169" s="955"/>
      <c r="GTF169" s="963"/>
      <c r="GTG169" s="2242"/>
      <c r="GTH169" s="1360"/>
      <c r="GTI169" s="955"/>
      <c r="GTJ169" s="1361"/>
      <c r="GTK169" s="1360"/>
      <c r="GTL169" s="1925"/>
      <c r="GTM169" s="955"/>
      <c r="GTN169" s="963"/>
      <c r="GTO169" s="2242"/>
      <c r="GTP169" s="1360"/>
      <c r="GTQ169" s="955"/>
      <c r="GTR169" s="1361"/>
      <c r="GTS169" s="1360"/>
      <c r="GTT169" s="1925"/>
      <c r="GTU169" s="955"/>
      <c r="GTV169" s="963"/>
      <c r="GTW169" s="2242"/>
      <c r="GTX169" s="1360"/>
      <c r="GTY169" s="955"/>
      <c r="GTZ169" s="1361"/>
      <c r="GUA169" s="1360"/>
      <c r="GUB169" s="1925"/>
      <c r="GUC169" s="955"/>
      <c r="GUD169" s="963"/>
      <c r="GUE169" s="2242"/>
      <c r="GUF169" s="1360"/>
      <c r="GUG169" s="955"/>
      <c r="GUH169" s="1361"/>
      <c r="GUI169" s="1360"/>
      <c r="GUJ169" s="1925"/>
      <c r="GUK169" s="955"/>
      <c r="GUL169" s="963"/>
      <c r="GUM169" s="2242"/>
      <c r="GUN169" s="1360"/>
      <c r="GUO169" s="955"/>
      <c r="GUP169" s="1361"/>
      <c r="GUQ169" s="1360"/>
      <c r="GUR169" s="1925"/>
      <c r="GUS169" s="955"/>
      <c r="GUT169" s="963"/>
      <c r="GUU169" s="2242"/>
      <c r="GUV169" s="1360"/>
      <c r="GUW169" s="955"/>
      <c r="GUX169" s="1361"/>
      <c r="GUY169" s="1360"/>
      <c r="GUZ169" s="1925"/>
      <c r="GVA169" s="955"/>
      <c r="GVB169" s="963"/>
      <c r="GVC169" s="2242"/>
      <c r="GVD169" s="1360"/>
      <c r="GVE169" s="955"/>
      <c r="GVF169" s="1361"/>
      <c r="GVG169" s="1360"/>
      <c r="GVH169" s="1925"/>
      <c r="GVI169" s="955"/>
      <c r="GVJ169" s="963"/>
      <c r="GVK169" s="2242"/>
      <c r="GVL169" s="1360"/>
      <c r="GVM169" s="955"/>
      <c r="GVN169" s="1361"/>
      <c r="GVO169" s="1360"/>
      <c r="GVP169" s="1925"/>
      <c r="GVQ169" s="955"/>
      <c r="GVR169" s="963"/>
      <c r="GVS169" s="2242"/>
      <c r="GVT169" s="1360"/>
      <c r="GVU169" s="955"/>
      <c r="GVV169" s="1361"/>
      <c r="GVW169" s="1360"/>
      <c r="GVX169" s="1925"/>
      <c r="GVY169" s="955"/>
      <c r="GVZ169" s="963"/>
      <c r="GWA169" s="2242"/>
      <c r="GWB169" s="1360"/>
      <c r="GWC169" s="955"/>
      <c r="GWD169" s="1361"/>
      <c r="GWE169" s="1360"/>
      <c r="GWF169" s="1925"/>
      <c r="GWG169" s="955"/>
      <c r="GWH169" s="963"/>
      <c r="GWI169" s="2242"/>
      <c r="GWJ169" s="1360"/>
      <c r="GWK169" s="955"/>
      <c r="GWL169" s="1361"/>
      <c r="GWM169" s="1360"/>
      <c r="GWN169" s="1925"/>
      <c r="GWO169" s="955"/>
      <c r="GWP169" s="963"/>
      <c r="GWQ169" s="2242"/>
      <c r="GWR169" s="1360"/>
      <c r="GWS169" s="955"/>
      <c r="GWT169" s="1361"/>
      <c r="GWU169" s="1360"/>
      <c r="GWV169" s="1925"/>
      <c r="GWW169" s="955"/>
      <c r="GWX169" s="963"/>
      <c r="GWY169" s="2242"/>
      <c r="GWZ169" s="1360"/>
      <c r="GXA169" s="955"/>
      <c r="GXB169" s="1361"/>
      <c r="GXC169" s="1360"/>
      <c r="GXD169" s="1925"/>
      <c r="GXE169" s="955"/>
      <c r="GXF169" s="963"/>
      <c r="GXG169" s="2242"/>
      <c r="GXH169" s="1360"/>
      <c r="GXI169" s="955"/>
      <c r="GXJ169" s="1361"/>
      <c r="GXK169" s="1360"/>
      <c r="GXL169" s="1925"/>
      <c r="GXM169" s="955"/>
      <c r="GXN169" s="963"/>
      <c r="GXO169" s="2242"/>
      <c r="GXP169" s="1360"/>
      <c r="GXQ169" s="955"/>
      <c r="GXR169" s="1361"/>
      <c r="GXS169" s="1360"/>
      <c r="GXT169" s="1925"/>
      <c r="GXU169" s="955"/>
      <c r="GXV169" s="963"/>
      <c r="GXW169" s="2242"/>
      <c r="GXX169" s="1360"/>
      <c r="GXY169" s="955"/>
      <c r="GXZ169" s="1361"/>
      <c r="GYA169" s="1360"/>
      <c r="GYB169" s="1925"/>
      <c r="GYC169" s="955"/>
      <c r="GYD169" s="963"/>
      <c r="GYE169" s="2242"/>
      <c r="GYF169" s="1360"/>
      <c r="GYG169" s="955"/>
      <c r="GYH169" s="1361"/>
      <c r="GYI169" s="1360"/>
      <c r="GYJ169" s="1925"/>
      <c r="GYK169" s="955"/>
      <c r="GYL169" s="963"/>
      <c r="GYM169" s="2242"/>
      <c r="GYN169" s="1360"/>
      <c r="GYO169" s="955"/>
      <c r="GYP169" s="1361"/>
      <c r="GYQ169" s="1360"/>
      <c r="GYR169" s="1925"/>
      <c r="GYS169" s="955"/>
      <c r="GYT169" s="963"/>
      <c r="GYU169" s="2242"/>
      <c r="GYV169" s="1360"/>
      <c r="GYW169" s="955"/>
      <c r="GYX169" s="1361"/>
      <c r="GYY169" s="1360"/>
      <c r="GYZ169" s="1925"/>
      <c r="GZA169" s="955"/>
      <c r="GZB169" s="963"/>
      <c r="GZC169" s="2242"/>
      <c r="GZD169" s="1360"/>
      <c r="GZE169" s="955"/>
      <c r="GZF169" s="1361"/>
      <c r="GZG169" s="1360"/>
      <c r="GZH169" s="1925"/>
      <c r="GZI169" s="955"/>
      <c r="GZJ169" s="963"/>
      <c r="GZK169" s="2242"/>
      <c r="GZL169" s="1360"/>
      <c r="GZM169" s="955"/>
      <c r="GZN169" s="1361"/>
      <c r="GZO169" s="1360"/>
      <c r="GZP169" s="1925"/>
      <c r="GZQ169" s="955"/>
      <c r="GZR169" s="963"/>
      <c r="GZS169" s="2242"/>
      <c r="GZT169" s="1360"/>
      <c r="GZU169" s="955"/>
      <c r="GZV169" s="1361"/>
      <c r="GZW169" s="1360"/>
      <c r="GZX169" s="1925"/>
      <c r="GZY169" s="955"/>
      <c r="GZZ169" s="963"/>
      <c r="HAA169" s="2242"/>
      <c r="HAB169" s="1360"/>
      <c r="HAC169" s="955"/>
      <c r="HAD169" s="1361"/>
      <c r="HAE169" s="1360"/>
      <c r="HAF169" s="1925"/>
      <c r="HAG169" s="955"/>
      <c r="HAH169" s="963"/>
      <c r="HAI169" s="2242"/>
      <c r="HAJ169" s="1360"/>
      <c r="HAK169" s="955"/>
      <c r="HAL169" s="1361"/>
      <c r="HAM169" s="1360"/>
      <c r="HAN169" s="1925"/>
      <c r="HAO169" s="955"/>
      <c r="HAP169" s="963"/>
      <c r="HAQ169" s="2242"/>
      <c r="HAR169" s="1360"/>
      <c r="HAS169" s="955"/>
      <c r="HAT169" s="1361"/>
      <c r="HAU169" s="1360"/>
      <c r="HAV169" s="1925"/>
      <c r="HAW169" s="955"/>
      <c r="HAX169" s="963"/>
      <c r="HAY169" s="2242"/>
      <c r="HAZ169" s="1360"/>
      <c r="HBA169" s="955"/>
      <c r="HBB169" s="1361"/>
      <c r="HBC169" s="1360"/>
      <c r="HBD169" s="1925"/>
      <c r="HBE169" s="955"/>
      <c r="HBF169" s="963"/>
      <c r="HBG169" s="2242"/>
      <c r="HBH169" s="1360"/>
      <c r="HBI169" s="955"/>
      <c r="HBJ169" s="1361"/>
      <c r="HBK169" s="1360"/>
      <c r="HBL169" s="1925"/>
      <c r="HBM169" s="955"/>
      <c r="HBN169" s="963"/>
      <c r="HBO169" s="2242"/>
      <c r="HBP169" s="1360"/>
      <c r="HBQ169" s="955"/>
      <c r="HBR169" s="1361"/>
      <c r="HBS169" s="1360"/>
      <c r="HBT169" s="1925"/>
      <c r="HBU169" s="955"/>
      <c r="HBV169" s="963"/>
      <c r="HBW169" s="2242"/>
      <c r="HBX169" s="1360"/>
      <c r="HBY169" s="955"/>
      <c r="HBZ169" s="1361"/>
      <c r="HCA169" s="1360"/>
      <c r="HCB169" s="1925"/>
      <c r="HCC169" s="955"/>
      <c r="HCD169" s="963"/>
      <c r="HCE169" s="2242"/>
      <c r="HCF169" s="1360"/>
      <c r="HCG169" s="955"/>
      <c r="HCH169" s="1361"/>
      <c r="HCI169" s="1360"/>
      <c r="HCJ169" s="1925"/>
      <c r="HCK169" s="955"/>
      <c r="HCL169" s="963"/>
      <c r="HCM169" s="2242"/>
      <c r="HCN169" s="1360"/>
      <c r="HCO169" s="955"/>
      <c r="HCP169" s="1361"/>
      <c r="HCQ169" s="1360"/>
      <c r="HCR169" s="1925"/>
      <c r="HCS169" s="955"/>
      <c r="HCT169" s="963"/>
      <c r="HCU169" s="2242"/>
      <c r="HCV169" s="1360"/>
      <c r="HCW169" s="955"/>
      <c r="HCX169" s="1361"/>
      <c r="HCY169" s="1360"/>
      <c r="HCZ169" s="1925"/>
      <c r="HDA169" s="955"/>
      <c r="HDB169" s="963"/>
      <c r="HDC169" s="2242"/>
      <c r="HDD169" s="1360"/>
      <c r="HDE169" s="955"/>
      <c r="HDF169" s="1361"/>
      <c r="HDG169" s="1360"/>
      <c r="HDH169" s="1925"/>
      <c r="HDI169" s="955"/>
      <c r="HDJ169" s="963"/>
      <c r="HDK169" s="2242"/>
      <c r="HDL169" s="1360"/>
      <c r="HDM169" s="955"/>
      <c r="HDN169" s="1361"/>
      <c r="HDO169" s="1360"/>
      <c r="HDP169" s="1925"/>
      <c r="HDQ169" s="955"/>
      <c r="HDR169" s="963"/>
      <c r="HDS169" s="2242"/>
      <c r="HDT169" s="1360"/>
      <c r="HDU169" s="955"/>
      <c r="HDV169" s="1361"/>
      <c r="HDW169" s="1360"/>
      <c r="HDX169" s="1925"/>
      <c r="HDY169" s="955"/>
      <c r="HDZ169" s="963"/>
      <c r="HEA169" s="2242"/>
      <c r="HEB169" s="1360"/>
      <c r="HEC169" s="955"/>
      <c r="HED169" s="1361"/>
      <c r="HEE169" s="1360"/>
      <c r="HEF169" s="1925"/>
      <c r="HEG169" s="955"/>
      <c r="HEH169" s="963"/>
      <c r="HEI169" s="2242"/>
      <c r="HEJ169" s="1360"/>
      <c r="HEK169" s="955"/>
      <c r="HEL169" s="1361"/>
      <c r="HEM169" s="1360"/>
      <c r="HEN169" s="1925"/>
      <c r="HEO169" s="955"/>
      <c r="HEP169" s="963"/>
      <c r="HEQ169" s="2242"/>
      <c r="HER169" s="1360"/>
      <c r="HES169" s="955"/>
      <c r="HET169" s="1361"/>
      <c r="HEU169" s="1360"/>
      <c r="HEV169" s="1925"/>
      <c r="HEW169" s="955"/>
      <c r="HEX169" s="963"/>
      <c r="HEY169" s="2242"/>
      <c r="HEZ169" s="1360"/>
      <c r="HFA169" s="955"/>
      <c r="HFB169" s="1361"/>
      <c r="HFC169" s="1360"/>
      <c r="HFD169" s="1925"/>
      <c r="HFE169" s="955"/>
      <c r="HFF169" s="963"/>
      <c r="HFG169" s="2242"/>
      <c r="HFH169" s="1360"/>
      <c r="HFI169" s="955"/>
      <c r="HFJ169" s="1361"/>
      <c r="HFK169" s="1360"/>
      <c r="HFL169" s="1925"/>
      <c r="HFM169" s="955"/>
      <c r="HFN169" s="963"/>
      <c r="HFO169" s="2242"/>
      <c r="HFP169" s="1360"/>
      <c r="HFQ169" s="955"/>
      <c r="HFR169" s="1361"/>
      <c r="HFS169" s="1360"/>
      <c r="HFT169" s="1925"/>
      <c r="HFU169" s="955"/>
      <c r="HFV169" s="963"/>
      <c r="HFW169" s="2242"/>
      <c r="HFX169" s="1360"/>
      <c r="HFY169" s="955"/>
      <c r="HFZ169" s="1361"/>
      <c r="HGA169" s="1360"/>
      <c r="HGB169" s="1925"/>
      <c r="HGC169" s="955"/>
      <c r="HGD169" s="963"/>
      <c r="HGE169" s="2242"/>
      <c r="HGF169" s="1360"/>
      <c r="HGG169" s="955"/>
      <c r="HGH169" s="1361"/>
      <c r="HGI169" s="1360"/>
      <c r="HGJ169" s="1925"/>
      <c r="HGK169" s="955"/>
      <c r="HGL169" s="963"/>
      <c r="HGM169" s="2242"/>
      <c r="HGN169" s="1360"/>
      <c r="HGO169" s="955"/>
      <c r="HGP169" s="1361"/>
      <c r="HGQ169" s="1360"/>
      <c r="HGR169" s="1925"/>
      <c r="HGS169" s="955"/>
      <c r="HGT169" s="963"/>
      <c r="HGU169" s="2242"/>
      <c r="HGV169" s="1360"/>
      <c r="HGW169" s="955"/>
      <c r="HGX169" s="1361"/>
      <c r="HGY169" s="1360"/>
      <c r="HGZ169" s="1925"/>
      <c r="HHA169" s="955"/>
      <c r="HHB169" s="963"/>
      <c r="HHC169" s="2242"/>
      <c r="HHD169" s="1360"/>
      <c r="HHE169" s="955"/>
      <c r="HHF169" s="1361"/>
      <c r="HHG169" s="1360"/>
      <c r="HHH169" s="1925"/>
      <c r="HHI169" s="955"/>
      <c r="HHJ169" s="963"/>
      <c r="HHK169" s="2242"/>
      <c r="HHL169" s="1360"/>
      <c r="HHM169" s="955"/>
      <c r="HHN169" s="1361"/>
      <c r="HHO169" s="1360"/>
      <c r="HHP169" s="1925"/>
      <c r="HHQ169" s="955"/>
      <c r="HHR169" s="963"/>
      <c r="HHS169" s="2242"/>
      <c r="HHT169" s="1360"/>
      <c r="HHU169" s="955"/>
      <c r="HHV169" s="1361"/>
      <c r="HHW169" s="1360"/>
      <c r="HHX169" s="1925"/>
      <c r="HHY169" s="955"/>
      <c r="HHZ169" s="963"/>
      <c r="HIA169" s="2242"/>
      <c r="HIB169" s="1360"/>
      <c r="HIC169" s="955"/>
      <c r="HID169" s="1361"/>
      <c r="HIE169" s="1360"/>
      <c r="HIF169" s="1925"/>
      <c r="HIG169" s="955"/>
      <c r="HIH169" s="963"/>
      <c r="HII169" s="2242"/>
      <c r="HIJ169" s="1360"/>
      <c r="HIK169" s="955"/>
      <c r="HIL169" s="1361"/>
      <c r="HIM169" s="1360"/>
      <c r="HIN169" s="1925"/>
      <c r="HIO169" s="955"/>
      <c r="HIP169" s="963"/>
      <c r="HIQ169" s="2242"/>
      <c r="HIR169" s="1360"/>
      <c r="HIS169" s="955"/>
      <c r="HIT169" s="1361"/>
      <c r="HIU169" s="1360"/>
      <c r="HIV169" s="1925"/>
      <c r="HIW169" s="955"/>
      <c r="HIX169" s="963"/>
      <c r="HIY169" s="2242"/>
      <c r="HIZ169" s="1360"/>
      <c r="HJA169" s="955"/>
      <c r="HJB169" s="1361"/>
      <c r="HJC169" s="1360"/>
      <c r="HJD169" s="1925"/>
      <c r="HJE169" s="955"/>
      <c r="HJF169" s="963"/>
      <c r="HJG169" s="2242"/>
      <c r="HJH169" s="1360"/>
      <c r="HJI169" s="955"/>
      <c r="HJJ169" s="1361"/>
      <c r="HJK169" s="1360"/>
      <c r="HJL169" s="1925"/>
      <c r="HJM169" s="955"/>
      <c r="HJN169" s="963"/>
      <c r="HJO169" s="2242"/>
      <c r="HJP169" s="1360"/>
      <c r="HJQ169" s="955"/>
      <c r="HJR169" s="1361"/>
      <c r="HJS169" s="1360"/>
      <c r="HJT169" s="1925"/>
      <c r="HJU169" s="955"/>
      <c r="HJV169" s="963"/>
      <c r="HJW169" s="2242"/>
      <c r="HJX169" s="1360"/>
      <c r="HJY169" s="955"/>
      <c r="HJZ169" s="1361"/>
      <c r="HKA169" s="1360"/>
      <c r="HKB169" s="1925"/>
      <c r="HKC169" s="955"/>
      <c r="HKD169" s="963"/>
      <c r="HKE169" s="2242"/>
      <c r="HKF169" s="1360"/>
      <c r="HKG169" s="955"/>
      <c r="HKH169" s="1361"/>
      <c r="HKI169" s="1360"/>
      <c r="HKJ169" s="1925"/>
      <c r="HKK169" s="955"/>
      <c r="HKL169" s="963"/>
      <c r="HKM169" s="2242"/>
      <c r="HKN169" s="1360"/>
      <c r="HKO169" s="955"/>
      <c r="HKP169" s="1361"/>
      <c r="HKQ169" s="1360"/>
      <c r="HKR169" s="1925"/>
      <c r="HKS169" s="955"/>
      <c r="HKT169" s="963"/>
      <c r="HKU169" s="2242"/>
      <c r="HKV169" s="1360"/>
      <c r="HKW169" s="955"/>
      <c r="HKX169" s="1361"/>
      <c r="HKY169" s="1360"/>
      <c r="HKZ169" s="1925"/>
      <c r="HLA169" s="955"/>
      <c r="HLB169" s="963"/>
      <c r="HLC169" s="2242"/>
      <c r="HLD169" s="1360"/>
      <c r="HLE169" s="955"/>
      <c r="HLF169" s="1361"/>
      <c r="HLG169" s="1360"/>
      <c r="HLH169" s="1925"/>
      <c r="HLI169" s="955"/>
      <c r="HLJ169" s="963"/>
      <c r="HLK169" s="2242"/>
      <c r="HLL169" s="1360"/>
      <c r="HLM169" s="955"/>
      <c r="HLN169" s="1361"/>
      <c r="HLO169" s="1360"/>
      <c r="HLP169" s="1925"/>
      <c r="HLQ169" s="955"/>
      <c r="HLR169" s="963"/>
      <c r="HLS169" s="2242"/>
      <c r="HLT169" s="1360"/>
      <c r="HLU169" s="955"/>
      <c r="HLV169" s="1361"/>
      <c r="HLW169" s="1360"/>
      <c r="HLX169" s="1925"/>
      <c r="HLY169" s="955"/>
      <c r="HLZ169" s="963"/>
      <c r="HMA169" s="2242"/>
      <c r="HMB169" s="1360"/>
      <c r="HMC169" s="955"/>
      <c r="HMD169" s="1361"/>
      <c r="HME169" s="1360"/>
      <c r="HMF169" s="1925"/>
      <c r="HMG169" s="955"/>
      <c r="HMH169" s="963"/>
      <c r="HMI169" s="2242"/>
      <c r="HMJ169" s="1360"/>
      <c r="HMK169" s="955"/>
      <c r="HML169" s="1361"/>
      <c r="HMM169" s="1360"/>
      <c r="HMN169" s="1925"/>
      <c r="HMO169" s="955"/>
      <c r="HMP169" s="963"/>
      <c r="HMQ169" s="2242"/>
      <c r="HMR169" s="1360"/>
      <c r="HMS169" s="955"/>
      <c r="HMT169" s="1361"/>
      <c r="HMU169" s="1360"/>
      <c r="HMV169" s="1925"/>
      <c r="HMW169" s="955"/>
      <c r="HMX169" s="963"/>
      <c r="HMY169" s="2242"/>
      <c r="HMZ169" s="1360"/>
      <c r="HNA169" s="955"/>
      <c r="HNB169" s="1361"/>
      <c r="HNC169" s="1360"/>
      <c r="HND169" s="1925"/>
      <c r="HNE169" s="955"/>
      <c r="HNF169" s="963"/>
      <c r="HNG169" s="2242"/>
      <c r="HNH169" s="1360"/>
      <c r="HNI169" s="955"/>
      <c r="HNJ169" s="1361"/>
      <c r="HNK169" s="1360"/>
      <c r="HNL169" s="1925"/>
      <c r="HNM169" s="955"/>
      <c r="HNN169" s="963"/>
      <c r="HNO169" s="2242"/>
      <c r="HNP169" s="1360"/>
      <c r="HNQ169" s="955"/>
      <c r="HNR169" s="1361"/>
      <c r="HNS169" s="1360"/>
      <c r="HNT169" s="1925"/>
      <c r="HNU169" s="955"/>
      <c r="HNV169" s="963"/>
      <c r="HNW169" s="2242"/>
      <c r="HNX169" s="1360"/>
      <c r="HNY169" s="955"/>
      <c r="HNZ169" s="1361"/>
      <c r="HOA169" s="1360"/>
      <c r="HOB169" s="1925"/>
      <c r="HOC169" s="955"/>
      <c r="HOD169" s="963"/>
      <c r="HOE169" s="2242"/>
      <c r="HOF169" s="1360"/>
      <c r="HOG169" s="955"/>
      <c r="HOH169" s="1361"/>
      <c r="HOI169" s="1360"/>
      <c r="HOJ169" s="1925"/>
      <c r="HOK169" s="955"/>
      <c r="HOL169" s="963"/>
      <c r="HOM169" s="2242"/>
      <c r="HON169" s="1360"/>
      <c r="HOO169" s="955"/>
      <c r="HOP169" s="1361"/>
      <c r="HOQ169" s="1360"/>
      <c r="HOR169" s="1925"/>
      <c r="HOS169" s="955"/>
      <c r="HOT169" s="963"/>
      <c r="HOU169" s="2242"/>
      <c r="HOV169" s="1360"/>
      <c r="HOW169" s="955"/>
      <c r="HOX169" s="1361"/>
      <c r="HOY169" s="1360"/>
      <c r="HOZ169" s="1925"/>
      <c r="HPA169" s="955"/>
      <c r="HPB169" s="963"/>
      <c r="HPC169" s="2242"/>
      <c r="HPD169" s="1360"/>
      <c r="HPE169" s="955"/>
      <c r="HPF169" s="1361"/>
      <c r="HPG169" s="1360"/>
      <c r="HPH169" s="1925"/>
      <c r="HPI169" s="955"/>
      <c r="HPJ169" s="963"/>
      <c r="HPK169" s="2242"/>
      <c r="HPL169" s="1360"/>
      <c r="HPM169" s="955"/>
      <c r="HPN169" s="1361"/>
      <c r="HPO169" s="1360"/>
      <c r="HPP169" s="1925"/>
      <c r="HPQ169" s="955"/>
      <c r="HPR169" s="963"/>
      <c r="HPS169" s="2242"/>
      <c r="HPT169" s="1360"/>
      <c r="HPU169" s="955"/>
      <c r="HPV169" s="1361"/>
      <c r="HPW169" s="1360"/>
      <c r="HPX169" s="1925"/>
      <c r="HPY169" s="955"/>
      <c r="HPZ169" s="963"/>
      <c r="HQA169" s="2242"/>
      <c r="HQB169" s="1360"/>
      <c r="HQC169" s="955"/>
      <c r="HQD169" s="1361"/>
      <c r="HQE169" s="1360"/>
      <c r="HQF169" s="1925"/>
      <c r="HQG169" s="955"/>
      <c r="HQH169" s="963"/>
      <c r="HQI169" s="2242"/>
      <c r="HQJ169" s="1360"/>
      <c r="HQK169" s="955"/>
      <c r="HQL169" s="1361"/>
      <c r="HQM169" s="1360"/>
      <c r="HQN169" s="1925"/>
      <c r="HQO169" s="955"/>
      <c r="HQP169" s="963"/>
      <c r="HQQ169" s="2242"/>
      <c r="HQR169" s="1360"/>
      <c r="HQS169" s="955"/>
      <c r="HQT169" s="1361"/>
      <c r="HQU169" s="1360"/>
      <c r="HQV169" s="1925"/>
      <c r="HQW169" s="955"/>
      <c r="HQX169" s="963"/>
      <c r="HQY169" s="2242"/>
      <c r="HQZ169" s="1360"/>
      <c r="HRA169" s="955"/>
      <c r="HRB169" s="1361"/>
      <c r="HRC169" s="1360"/>
      <c r="HRD169" s="1925"/>
      <c r="HRE169" s="955"/>
      <c r="HRF169" s="963"/>
      <c r="HRG169" s="2242"/>
      <c r="HRH169" s="1360"/>
      <c r="HRI169" s="955"/>
      <c r="HRJ169" s="1361"/>
      <c r="HRK169" s="1360"/>
      <c r="HRL169" s="1925"/>
      <c r="HRM169" s="955"/>
      <c r="HRN169" s="963"/>
      <c r="HRO169" s="2242"/>
      <c r="HRP169" s="1360"/>
      <c r="HRQ169" s="955"/>
      <c r="HRR169" s="1361"/>
      <c r="HRS169" s="1360"/>
      <c r="HRT169" s="1925"/>
      <c r="HRU169" s="955"/>
      <c r="HRV169" s="963"/>
      <c r="HRW169" s="2242"/>
      <c r="HRX169" s="1360"/>
      <c r="HRY169" s="955"/>
      <c r="HRZ169" s="1361"/>
      <c r="HSA169" s="1360"/>
      <c r="HSB169" s="1925"/>
      <c r="HSC169" s="955"/>
      <c r="HSD169" s="963"/>
      <c r="HSE169" s="2242"/>
      <c r="HSF169" s="1360"/>
      <c r="HSG169" s="955"/>
      <c r="HSH169" s="1361"/>
      <c r="HSI169" s="1360"/>
      <c r="HSJ169" s="1925"/>
      <c r="HSK169" s="955"/>
      <c r="HSL169" s="963"/>
      <c r="HSM169" s="2242"/>
      <c r="HSN169" s="1360"/>
      <c r="HSO169" s="955"/>
      <c r="HSP169" s="1361"/>
      <c r="HSQ169" s="1360"/>
      <c r="HSR169" s="1925"/>
      <c r="HSS169" s="955"/>
      <c r="HST169" s="963"/>
      <c r="HSU169" s="2242"/>
      <c r="HSV169" s="1360"/>
      <c r="HSW169" s="955"/>
      <c r="HSX169" s="1361"/>
      <c r="HSY169" s="1360"/>
      <c r="HSZ169" s="1925"/>
      <c r="HTA169" s="955"/>
      <c r="HTB169" s="963"/>
      <c r="HTC169" s="2242"/>
      <c r="HTD169" s="1360"/>
      <c r="HTE169" s="955"/>
      <c r="HTF169" s="1361"/>
      <c r="HTG169" s="1360"/>
      <c r="HTH169" s="1925"/>
      <c r="HTI169" s="955"/>
      <c r="HTJ169" s="963"/>
      <c r="HTK169" s="2242"/>
      <c r="HTL169" s="1360"/>
      <c r="HTM169" s="955"/>
      <c r="HTN169" s="1361"/>
      <c r="HTO169" s="1360"/>
      <c r="HTP169" s="1925"/>
      <c r="HTQ169" s="955"/>
      <c r="HTR169" s="963"/>
      <c r="HTS169" s="2242"/>
      <c r="HTT169" s="1360"/>
      <c r="HTU169" s="955"/>
      <c r="HTV169" s="1361"/>
      <c r="HTW169" s="1360"/>
      <c r="HTX169" s="1925"/>
      <c r="HTY169" s="955"/>
      <c r="HTZ169" s="963"/>
      <c r="HUA169" s="2242"/>
      <c r="HUB169" s="1360"/>
      <c r="HUC169" s="955"/>
      <c r="HUD169" s="1361"/>
      <c r="HUE169" s="1360"/>
      <c r="HUF169" s="1925"/>
      <c r="HUG169" s="955"/>
      <c r="HUH169" s="963"/>
      <c r="HUI169" s="2242"/>
      <c r="HUJ169" s="1360"/>
      <c r="HUK169" s="955"/>
      <c r="HUL169" s="1361"/>
      <c r="HUM169" s="1360"/>
      <c r="HUN169" s="1925"/>
      <c r="HUO169" s="955"/>
      <c r="HUP169" s="963"/>
      <c r="HUQ169" s="2242"/>
      <c r="HUR169" s="1360"/>
      <c r="HUS169" s="955"/>
      <c r="HUT169" s="1361"/>
      <c r="HUU169" s="1360"/>
      <c r="HUV169" s="1925"/>
      <c r="HUW169" s="955"/>
      <c r="HUX169" s="963"/>
      <c r="HUY169" s="2242"/>
      <c r="HUZ169" s="1360"/>
      <c r="HVA169" s="955"/>
      <c r="HVB169" s="1361"/>
      <c r="HVC169" s="1360"/>
      <c r="HVD169" s="1925"/>
      <c r="HVE169" s="955"/>
      <c r="HVF169" s="963"/>
      <c r="HVG169" s="2242"/>
      <c r="HVH169" s="1360"/>
      <c r="HVI169" s="955"/>
      <c r="HVJ169" s="1361"/>
      <c r="HVK169" s="1360"/>
      <c r="HVL169" s="1925"/>
      <c r="HVM169" s="955"/>
      <c r="HVN169" s="963"/>
      <c r="HVO169" s="2242"/>
      <c r="HVP169" s="1360"/>
      <c r="HVQ169" s="955"/>
      <c r="HVR169" s="1361"/>
      <c r="HVS169" s="1360"/>
      <c r="HVT169" s="1925"/>
      <c r="HVU169" s="955"/>
      <c r="HVV169" s="963"/>
      <c r="HVW169" s="2242"/>
      <c r="HVX169" s="1360"/>
      <c r="HVY169" s="955"/>
      <c r="HVZ169" s="1361"/>
      <c r="HWA169" s="1360"/>
      <c r="HWB169" s="1925"/>
      <c r="HWC169" s="955"/>
      <c r="HWD169" s="963"/>
      <c r="HWE169" s="2242"/>
      <c r="HWF169" s="1360"/>
      <c r="HWG169" s="955"/>
      <c r="HWH169" s="1361"/>
      <c r="HWI169" s="1360"/>
      <c r="HWJ169" s="1925"/>
      <c r="HWK169" s="955"/>
      <c r="HWL169" s="963"/>
      <c r="HWM169" s="2242"/>
      <c r="HWN169" s="1360"/>
      <c r="HWO169" s="955"/>
      <c r="HWP169" s="1361"/>
      <c r="HWQ169" s="1360"/>
      <c r="HWR169" s="1925"/>
      <c r="HWS169" s="955"/>
      <c r="HWT169" s="963"/>
      <c r="HWU169" s="2242"/>
      <c r="HWV169" s="1360"/>
      <c r="HWW169" s="955"/>
      <c r="HWX169" s="1361"/>
      <c r="HWY169" s="1360"/>
      <c r="HWZ169" s="1925"/>
      <c r="HXA169" s="955"/>
      <c r="HXB169" s="963"/>
      <c r="HXC169" s="2242"/>
      <c r="HXD169" s="1360"/>
      <c r="HXE169" s="955"/>
      <c r="HXF169" s="1361"/>
      <c r="HXG169" s="1360"/>
      <c r="HXH169" s="1925"/>
      <c r="HXI169" s="955"/>
      <c r="HXJ169" s="963"/>
      <c r="HXK169" s="2242"/>
      <c r="HXL169" s="1360"/>
      <c r="HXM169" s="955"/>
      <c r="HXN169" s="1361"/>
      <c r="HXO169" s="1360"/>
      <c r="HXP169" s="1925"/>
      <c r="HXQ169" s="955"/>
      <c r="HXR169" s="963"/>
      <c r="HXS169" s="2242"/>
      <c r="HXT169" s="1360"/>
      <c r="HXU169" s="955"/>
      <c r="HXV169" s="1361"/>
      <c r="HXW169" s="1360"/>
      <c r="HXX169" s="1925"/>
      <c r="HXY169" s="955"/>
      <c r="HXZ169" s="963"/>
      <c r="HYA169" s="2242"/>
      <c r="HYB169" s="1360"/>
      <c r="HYC169" s="955"/>
      <c r="HYD169" s="1361"/>
      <c r="HYE169" s="1360"/>
      <c r="HYF169" s="1925"/>
      <c r="HYG169" s="955"/>
      <c r="HYH169" s="963"/>
      <c r="HYI169" s="2242"/>
      <c r="HYJ169" s="1360"/>
      <c r="HYK169" s="955"/>
      <c r="HYL169" s="1361"/>
      <c r="HYM169" s="1360"/>
      <c r="HYN169" s="1925"/>
      <c r="HYO169" s="955"/>
      <c r="HYP169" s="963"/>
      <c r="HYQ169" s="2242"/>
      <c r="HYR169" s="1360"/>
      <c r="HYS169" s="955"/>
      <c r="HYT169" s="1361"/>
      <c r="HYU169" s="1360"/>
      <c r="HYV169" s="1925"/>
      <c r="HYW169" s="955"/>
      <c r="HYX169" s="963"/>
      <c r="HYY169" s="2242"/>
      <c r="HYZ169" s="1360"/>
      <c r="HZA169" s="955"/>
      <c r="HZB169" s="1361"/>
      <c r="HZC169" s="1360"/>
      <c r="HZD169" s="1925"/>
      <c r="HZE169" s="955"/>
      <c r="HZF169" s="963"/>
      <c r="HZG169" s="2242"/>
      <c r="HZH169" s="1360"/>
      <c r="HZI169" s="955"/>
      <c r="HZJ169" s="1361"/>
      <c r="HZK169" s="1360"/>
      <c r="HZL169" s="1925"/>
      <c r="HZM169" s="955"/>
      <c r="HZN169" s="963"/>
      <c r="HZO169" s="2242"/>
      <c r="HZP169" s="1360"/>
      <c r="HZQ169" s="955"/>
      <c r="HZR169" s="1361"/>
      <c r="HZS169" s="1360"/>
      <c r="HZT169" s="1925"/>
      <c r="HZU169" s="955"/>
      <c r="HZV169" s="963"/>
      <c r="HZW169" s="2242"/>
      <c r="HZX169" s="1360"/>
      <c r="HZY169" s="955"/>
      <c r="HZZ169" s="1361"/>
      <c r="IAA169" s="1360"/>
      <c r="IAB169" s="1925"/>
      <c r="IAC169" s="955"/>
      <c r="IAD169" s="963"/>
      <c r="IAE169" s="2242"/>
      <c r="IAF169" s="1360"/>
      <c r="IAG169" s="955"/>
      <c r="IAH169" s="1361"/>
      <c r="IAI169" s="1360"/>
      <c r="IAJ169" s="1925"/>
      <c r="IAK169" s="955"/>
      <c r="IAL169" s="963"/>
      <c r="IAM169" s="2242"/>
      <c r="IAN169" s="1360"/>
      <c r="IAO169" s="955"/>
      <c r="IAP169" s="1361"/>
      <c r="IAQ169" s="1360"/>
      <c r="IAR169" s="1925"/>
      <c r="IAS169" s="955"/>
      <c r="IAT169" s="963"/>
      <c r="IAU169" s="2242"/>
      <c r="IAV169" s="1360"/>
      <c r="IAW169" s="955"/>
      <c r="IAX169" s="1361"/>
      <c r="IAY169" s="1360"/>
      <c r="IAZ169" s="1925"/>
      <c r="IBA169" s="955"/>
      <c r="IBB169" s="963"/>
      <c r="IBC169" s="2242"/>
      <c r="IBD169" s="1360"/>
      <c r="IBE169" s="955"/>
      <c r="IBF169" s="1361"/>
      <c r="IBG169" s="1360"/>
      <c r="IBH169" s="1925"/>
      <c r="IBI169" s="955"/>
      <c r="IBJ169" s="963"/>
      <c r="IBK169" s="2242"/>
      <c r="IBL169" s="1360"/>
      <c r="IBM169" s="955"/>
      <c r="IBN169" s="1361"/>
      <c r="IBO169" s="1360"/>
      <c r="IBP169" s="1925"/>
      <c r="IBQ169" s="955"/>
      <c r="IBR169" s="963"/>
      <c r="IBS169" s="2242"/>
      <c r="IBT169" s="1360"/>
      <c r="IBU169" s="955"/>
      <c r="IBV169" s="1361"/>
      <c r="IBW169" s="1360"/>
      <c r="IBX169" s="1925"/>
      <c r="IBY169" s="955"/>
      <c r="IBZ169" s="963"/>
      <c r="ICA169" s="2242"/>
      <c r="ICB169" s="1360"/>
      <c r="ICC169" s="955"/>
      <c r="ICD169" s="1361"/>
      <c r="ICE169" s="1360"/>
      <c r="ICF169" s="1925"/>
      <c r="ICG169" s="955"/>
      <c r="ICH169" s="963"/>
      <c r="ICI169" s="2242"/>
      <c r="ICJ169" s="1360"/>
      <c r="ICK169" s="955"/>
      <c r="ICL169" s="1361"/>
      <c r="ICM169" s="1360"/>
      <c r="ICN169" s="1925"/>
      <c r="ICO169" s="955"/>
      <c r="ICP169" s="963"/>
      <c r="ICQ169" s="2242"/>
      <c r="ICR169" s="1360"/>
      <c r="ICS169" s="955"/>
      <c r="ICT169" s="1361"/>
      <c r="ICU169" s="1360"/>
      <c r="ICV169" s="1925"/>
      <c r="ICW169" s="955"/>
      <c r="ICX169" s="963"/>
      <c r="ICY169" s="2242"/>
      <c r="ICZ169" s="1360"/>
      <c r="IDA169" s="955"/>
      <c r="IDB169" s="1361"/>
      <c r="IDC169" s="1360"/>
      <c r="IDD169" s="1925"/>
      <c r="IDE169" s="955"/>
      <c r="IDF169" s="963"/>
      <c r="IDG169" s="2242"/>
      <c r="IDH169" s="1360"/>
      <c r="IDI169" s="955"/>
      <c r="IDJ169" s="1361"/>
      <c r="IDK169" s="1360"/>
      <c r="IDL169" s="1925"/>
      <c r="IDM169" s="955"/>
      <c r="IDN169" s="963"/>
      <c r="IDO169" s="2242"/>
      <c r="IDP169" s="1360"/>
      <c r="IDQ169" s="955"/>
      <c r="IDR169" s="1361"/>
      <c r="IDS169" s="1360"/>
      <c r="IDT169" s="1925"/>
      <c r="IDU169" s="955"/>
      <c r="IDV169" s="963"/>
      <c r="IDW169" s="2242"/>
      <c r="IDX169" s="1360"/>
      <c r="IDY169" s="955"/>
      <c r="IDZ169" s="1361"/>
      <c r="IEA169" s="1360"/>
      <c r="IEB169" s="1925"/>
      <c r="IEC169" s="955"/>
      <c r="IED169" s="963"/>
      <c r="IEE169" s="2242"/>
      <c r="IEF169" s="1360"/>
      <c r="IEG169" s="955"/>
      <c r="IEH169" s="1361"/>
      <c r="IEI169" s="1360"/>
      <c r="IEJ169" s="1925"/>
      <c r="IEK169" s="955"/>
      <c r="IEL169" s="963"/>
      <c r="IEM169" s="2242"/>
      <c r="IEN169" s="1360"/>
      <c r="IEO169" s="955"/>
      <c r="IEP169" s="1361"/>
      <c r="IEQ169" s="1360"/>
      <c r="IER169" s="1925"/>
      <c r="IES169" s="955"/>
      <c r="IET169" s="963"/>
      <c r="IEU169" s="2242"/>
      <c r="IEV169" s="1360"/>
      <c r="IEW169" s="955"/>
      <c r="IEX169" s="1361"/>
      <c r="IEY169" s="1360"/>
      <c r="IEZ169" s="1925"/>
      <c r="IFA169" s="955"/>
      <c r="IFB169" s="963"/>
      <c r="IFC169" s="2242"/>
      <c r="IFD169" s="1360"/>
      <c r="IFE169" s="955"/>
      <c r="IFF169" s="1361"/>
      <c r="IFG169" s="1360"/>
      <c r="IFH169" s="1925"/>
      <c r="IFI169" s="955"/>
      <c r="IFJ169" s="963"/>
      <c r="IFK169" s="2242"/>
      <c r="IFL169" s="1360"/>
      <c r="IFM169" s="955"/>
      <c r="IFN169" s="1361"/>
      <c r="IFO169" s="1360"/>
      <c r="IFP169" s="1925"/>
      <c r="IFQ169" s="955"/>
      <c r="IFR169" s="963"/>
      <c r="IFS169" s="2242"/>
      <c r="IFT169" s="1360"/>
      <c r="IFU169" s="955"/>
      <c r="IFV169" s="1361"/>
      <c r="IFW169" s="1360"/>
      <c r="IFX169" s="1925"/>
      <c r="IFY169" s="955"/>
      <c r="IFZ169" s="963"/>
      <c r="IGA169" s="2242"/>
      <c r="IGB169" s="1360"/>
      <c r="IGC169" s="955"/>
      <c r="IGD169" s="1361"/>
      <c r="IGE169" s="1360"/>
      <c r="IGF169" s="1925"/>
      <c r="IGG169" s="955"/>
      <c r="IGH169" s="963"/>
      <c r="IGI169" s="2242"/>
      <c r="IGJ169" s="1360"/>
      <c r="IGK169" s="955"/>
      <c r="IGL169" s="1361"/>
      <c r="IGM169" s="1360"/>
      <c r="IGN169" s="1925"/>
      <c r="IGO169" s="955"/>
      <c r="IGP169" s="963"/>
      <c r="IGQ169" s="2242"/>
      <c r="IGR169" s="1360"/>
      <c r="IGS169" s="955"/>
      <c r="IGT169" s="1361"/>
      <c r="IGU169" s="1360"/>
      <c r="IGV169" s="1925"/>
      <c r="IGW169" s="955"/>
      <c r="IGX169" s="963"/>
      <c r="IGY169" s="2242"/>
      <c r="IGZ169" s="1360"/>
      <c r="IHA169" s="955"/>
      <c r="IHB169" s="1361"/>
      <c r="IHC169" s="1360"/>
      <c r="IHD169" s="1925"/>
      <c r="IHE169" s="955"/>
      <c r="IHF169" s="963"/>
      <c r="IHG169" s="2242"/>
      <c r="IHH169" s="1360"/>
      <c r="IHI169" s="955"/>
      <c r="IHJ169" s="1361"/>
      <c r="IHK169" s="1360"/>
      <c r="IHL169" s="1925"/>
      <c r="IHM169" s="955"/>
      <c r="IHN169" s="963"/>
      <c r="IHO169" s="2242"/>
      <c r="IHP169" s="1360"/>
      <c r="IHQ169" s="955"/>
      <c r="IHR169" s="1361"/>
      <c r="IHS169" s="1360"/>
      <c r="IHT169" s="1925"/>
      <c r="IHU169" s="955"/>
      <c r="IHV169" s="963"/>
      <c r="IHW169" s="2242"/>
      <c r="IHX169" s="1360"/>
      <c r="IHY169" s="955"/>
      <c r="IHZ169" s="1361"/>
      <c r="IIA169" s="1360"/>
      <c r="IIB169" s="1925"/>
      <c r="IIC169" s="955"/>
      <c r="IID169" s="963"/>
      <c r="IIE169" s="2242"/>
      <c r="IIF169" s="1360"/>
      <c r="IIG169" s="955"/>
      <c r="IIH169" s="1361"/>
      <c r="III169" s="1360"/>
      <c r="IIJ169" s="1925"/>
      <c r="IIK169" s="955"/>
      <c r="IIL169" s="963"/>
      <c r="IIM169" s="2242"/>
      <c r="IIN169" s="1360"/>
      <c r="IIO169" s="955"/>
      <c r="IIP169" s="1361"/>
      <c r="IIQ169" s="1360"/>
      <c r="IIR169" s="1925"/>
      <c r="IIS169" s="955"/>
      <c r="IIT169" s="963"/>
      <c r="IIU169" s="2242"/>
      <c r="IIV169" s="1360"/>
      <c r="IIW169" s="955"/>
      <c r="IIX169" s="1361"/>
      <c r="IIY169" s="1360"/>
      <c r="IIZ169" s="1925"/>
      <c r="IJA169" s="955"/>
      <c r="IJB169" s="963"/>
      <c r="IJC169" s="2242"/>
      <c r="IJD169" s="1360"/>
      <c r="IJE169" s="955"/>
      <c r="IJF169" s="1361"/>
      <c r="IJG169" s="1360"/>
      <c r="IJH169" s="1925"/>
      <c r="IJI169" s="955"/>
      <c r="IJJ169" s="963"/>
      <c r="IJK169" s="2242"/>
      <c r="IJL169" s="1360"/>
      <c r="IJM169" s="955"/>
      <c r="IJN169" s="1361"/>
      <c r="IJO169" s="1360"/>
      <c r="IJP169" s="1925"/>
      <c r="IJQ169" s="955"/>
      <c r="IJR169" s="963"/>
      <c r="IJS169" s="2242"/>
      <c r="IJT169" s="1360"/>
      <c r="IJU169" s="955"/>
      <c r="IJV169" s="1361"/>
      <c r="IJW169" s="1360"/>
      <c r="IJX169" s="1925"/>
      <c r="IJY169" s="955"/>
      <c r="IJZ169" s="963"/>
      <c r="IKA169" s="2242"/>
      <c r="IKB169" s="1360"/>
      <c r="IKC169" s="955"/>
      <c r="IKD169" s="1361"/>
      <c r="IKE169" s="1360"/>
      <c r="IKF169" s="1925"/>
      <c r="IKG169" s="955"/>
      <c r="IKH169" s="963"/>
      <c r="IKI169" s="2242"/>
      <c r="IKJ169" s="1360"/>
      <c r="IKK169" s="955"/>
      <c r="IKL169" s="1361"/>
      <c r="IKM169" s="1360"/>
      <c r="IKN169" s="1925"/>
      <c r="IKO169" s="955"/>
      <c r="IKP169" s="963"/>
      <c r="IKQ169" s="2242"/>
      <c r="IKR169" s="1360"/>
      <c r="IKS169" s="955"/>
      <c r="IKT169" s="1361"/>
      <c r="IKU169" s="1360"/>
      <c r="IKV169" s="1925"/>
      <c r="IKW169" s="955"/>
      <c r="IKX169" s="963"/>
      <c r="IKY169" s="2242"/>
      <c r="IKZ169" s="1360"/>
      <c r="ILA169" s="955"/>
      <c r="ILB169" s="1361"/>
      <c r="ILC169" s="1360"/>
      <c r="ILD169" s="1925"/>
      <c r="ILE169" s="955"/>
      <c r="ILF169" s="963"/>
      <c r="ILG169" s="2242"/>
      <c r="ILH169" s="1360"/>
      <c r="ILI169" s="955"/>
      <c r="ILJ169" s="1361"/>
      <c r="ILK169" s="1360"/>
      <c r="ILL169" s="1925"/>
      <c r="ILM169" s="955"/>
      <c r="ILN169" s="963"/>
      <c r="ILO169" s="2242"/>
      <c r="ILP169" s="1360"/>
      <c r="ILQ169" s="955"/>
      <c r="ILR169" s="1361"/>
      <c r="ILS169" s="1360"/>
      <c r="ILT169" s="1925"/>
      <c r="ILU169" s="955"/>
      <c r="ILV169" s="963"/>
      <c r="ILW169" s="2242"/>
      <c r="ILX169" s="1360"/>
      <c r="ILY169" s="955"/>
      <c r="ILZ169" s="1361"/>
      <c r="IMA169" s="1360"/>
      <c r="IMB169" s="1925"/>
      <c r="IMC169" s="955"/>
      <c r="IMD169" s="963"/>
      <c r="IME169" s="2242"/>
      <c r="IMF169" s="1360"/>
      <c r="IMG169" s="955"/>
      <c r="IMH169" s="1361"/>
      <c r="IMI169" s="1360"/>
      <c r="IMJ169" s="1925"/>
      <c r="IMK169" s="955"/>
      <c r="IML169" s="963"/>
      <c r="IMM169" s="2242"/>
      <c r="IMN169" s="1360"/>
      <c r="IMO169" s="955"/>
      <c r="IMP169" s="1361"/>
      <c r="IMQ169" s="1360"/>
      <c r="IMR169" s="1925"/>
      <c r="IMS169" s="955"/>
      <c r="IMT169" s="963"/>
      <c r="IMU169" s="2242"/>
      <c r="IMV169" s="1360"/>
      <c r="IMW169" s="955"/>
      <c r="IMX169" s="1361"/>
      <c r="IMY169" s="1360"/>
      <c r="IMZ169" s="1925"/>
      <c r="INA169" s="955"/>
      <c r="INB169" s="963"/>
      <c r="INC169" s="2242"/>
      <c r="IND169" s="1360"/>
      <c r="INE169" s="955"/>
      <c r="INF169" s="1361"/>
      <c r="ING169" s="1360"/>
      <c r="INH169" s="1925"/>
      <c r="INI169" s="955"/>
      <c r="INJ169" s="963"/>
      <c r="INK169" s="2242"/>
      <c r="INL169" s="1360"/>
      <c r="INM169" s="955"/>
      <c r="INN169" s="1361"/>
      <c r="INO169" s="1360"/>
      <c r="INP169" s="1925"/>
      <c r="INQ169" s="955"/>
      <c r="INR169" s="963"/>
      <c r="INS169" s="2242"/>
      <c r="INT169" s="1360"/>
      <c r="INU169" s="955"/>
      <c r="INV169" s="1361"/>
      <c r="INW169" s="1360"/>
      <c r="INX169" s="1925"/>
      <c r="INY169" s="955"/>
      <c r="INZ169" s="963"/>
      <c r="IOA169" s="2242"/>
      <c r="IOB169" s="1360"/>
      <c r="IOC169" s="955"/>
      <c r="IOD169" s="1361"/>
      <c r="IOE169" s="1360"/>
      <c r="IOF169" s="1925"/>
      <c r="IOG169" s="955"/>
      <c r="IOH169" s="963"/>
      <c r="IOI169" s="2242"/>
      <c r="IOJ169" s="1360"/>
      <c r="IOK169" s="955"/>
      <c r="IOL169" s="1361"/>
      <c r="IOM169" s="1360"/>
      <c r="ION169" s="1925"/>
      <c r="IOO169" s="955"/>
      <c r="IOP169" s="963"/>
      <c r="IOQ169" s="2242"/>
      <c r="IOR169" s="1360"/>
      <c r="IOS169" s="955"/>
      <c r="IOT169" s="1361"/>
      <c r="IOU169" s="1360"/>
      <c r="IOV169" s="1925"/>
      <c r="IOW169" s="955"/>
      <c r="IOX169" s="963"/>
      <c r="IOY169" s="2242"/>
      <c r="IOZ169" s="1360"/>
      <c r="IPA169" s="955"/>
      <c r="IPB169" s="1361"/>
      <c r="IPC169" s="1360"/>
      <c r="IPD169" s="1925"/>
      <c r="IPE169" s="955"/>
      <c r="IPF169" s="963"/>
      <c r="IPG169" s="2242"/>
      <c r="IPH169" s="1360"/>
      <c r="IPI169" s="955"/>
      <c r="IPJ169" s="1361"/>
      <c r="IPK169" s="1360"/>
      <c r="IPL169" s="1925"/>
      <c r="IPM169" s="955"/>
      <c r="IPN169" s="963"/>
      <c r="IPO169" s="2242"/>
      <c r="IPP169" s="1360"/>
      <c r="IPQ169" s="955"/>
      <c r="IPR169" s="1361"/>
      <c r="IPS169" s="1360"/>
      <c r="IPT169" s="1925"/>
      <c r="IPU169" s="955"/>
      <c r="IPV169" s="963"/>
      <c r="IPW169" s="2242"/>
      <c r="IPX169" s="1360"/>
      <c r="IPY169" s="955"/>
      <c r="IPZ169" s="1361"/>
      <c r="IQA169" s="1360"/>
      <c r="IQB169" s="1925"/>
      <c r="IQC169" s="955"/>
      <c r="IQD169" s="963"/>
      <c r="IQE169" s="2242"/>
      <c r="IQF169" s="1360"/>
      <c r="IQG169" s="955"/>
      <c r="IQH169" s="1361"/>
      <c r="IQI169" s="1360"/>
      <c r="IQJ169" s="1925"/>
      <c r="IQK169" s="955"/>
      <c r="IQL169" s="963"/>
      <c r="IQM169" s="2242"/>
      <c r="IQN169" s="1360"/>
      <c r="IQO169" s="955"/>
      <c r="IQP169" s="1361"/>
      <c r="IQQ169" s="1360"/>
      <c r="IQR169" s="1925"/>
      <c r="IQS169" s="955"/>
      <c r="IQT169" s="963"/>
      <c r="IQU169" s="2242"/>
      <c r="IQV169" s="1360"/>
      <c r="IQW169" s="955"/>
      <c r="IQX169" s="1361"/>
      <c r="IQY169" s="1360"/>
      <c r="IQZ169" s="1925"/>
      <c r="IRA169" s="955"/>
      <c r="IRB169" s="963"/>
      <c r="IRC169" s="2242"/>
      <c r="IRD169" s="1360"/>
      <c r="IRE169" s="955"/>
      <c r="IRF169" s="1361"/>
      <c r="IRG169" s="1360"/>
      <c r="IRH169" s="1925"/>
      <c r="IRI169" s="955"/>
      <c r="IRJ169" s="963"/>
      <c r="IRK169" s="2242"/>
      <c r="IRL169" s="1360"/>
      <c r="IRM169" s="955"/>
      <c r="IRN169" s="1361"/>
      <c r="IRO169" s="1360"/>
      <c r="IRP169" s="1925"/>
      <c r="IRQ169" s="955"/>
      <c r="IRR169" s="963"/>
      <c r="IRS169" s="2242"/>
      <c r="IRT169" s="1360"/>
      <c r="IRU169" s="955"/>
      <c r="IRV169" s="1361"/>
      <c r="IRW169" s="1360"/>
      <c r="IRX169" s="1925"/>
      <c r="IRY169" s="955"/>
      <c r="IRZ169" s="963"/>
      <c r="ISA169" s="2242"/>
      <c r="ISB169" s="1360"/>
      <c r="ISC169" s="955"/>
      <c r="ISD169" s="1361"/>
      <c r="ISE169" s="1360"/>
      <c r="ISF169" s="1925"/>
      <c r="ISG169" s="955"/>
      <c r="ISH169" s="963"/>
      <c r="ISI169" s="2242"/>
      <c r="ISJ169" s="1360"/>
      <c r="ISK169" s="955"/>
      <c r="ISL169" s="1361"/>
      <c r="ISM169" s="1360"/>
      <c r="ISN169" s="1925"/>
      <c r="ISO169" s="955"/>
      <c r="ISP169" s="963"/>
      <c r="ISQ169" s="2242"/>
      <c r="ISR169" s="1360"/>
      <c r="ISS169" s="955"/>
      <c r="IST169" s="1361"/>
      <c r="ISU169" s="1360"/>
      <c r="ISV169" s="1925"/>
      <c r="ISW169" s="955"/>
      <c r="ISX169" s="963"/>
      <c r="ISY169" s="2242"/>
      <c r="ISZ169" s="1360"/>
      <c r="ITA169" s="955"/>
      <c r="ITB169" s="1361"/>
      <c r="ITC169" s="1360"/>
      <c r="ITD169" s="1925"/>
      <c r="ITE169" s="955"/>
      <c r="ITF169" s="963"/>
      <c r="ITG169" s="2242"/>
      <c r="ITH169" s="1360"/>
      <c r="ITI169" s="955"/>
      <c r="ITJ169" s="1361"/>
      <c r="ITK169" s="1360"/>
      <c r="ITL169" s="1925"/>
      <c r="ITM169" s="955"/>
      <c r="ITN169" s="963"/>
      <c r="ITO169" s="2242"/>
      <c r="ITP169" s="1360"/>
      <c r="ITQ169" s="955"/>
      <c r="ITR169" s="1361"/>
      <c r="ITS169" s="1360"/>
      <c r="ITT169" s="1925"/>
      <c r="ITU169" s="955"/>
      <c r="ITV169" s="963"/>
      <c r="ITW169" s="2242"/>
      <c r="ITX169" s="1360"/>
      <c r="ITY169" s="955"/>
      <c r="ITZ169" s="1361"/>
      <c r="IUA169" s="1360"/>
      <c r="IUB169" s="1925"/>
      <c r="IUC169" s="955"/>
      <c r="IUD169" s="963"/>
      <c r="IUE169" s="2242"/>
      <c r="IUF169" s="1360"/>
      <c r="IUG169" s="955"/>
      <c r="IUH169" s="1361"/>
      <c r="IUI169" s="1360"/>
      <c r="IUJ169" s="1925"/>
      <c r="IUK169" s="955"/>
      <c r="IUL169" s="963"/>
      <c r="IUM169" s="2242"/>
      <c r="IUN169" s="1360"/>
      <c r="IUO169" s="955"/>
      <c r="IUP169" s="1361"/>
      <c r="IUQ169" s="1360"/>
      <c r="IUR169" s="1925"/>
      <c r="IUS169" s="955"/>
      <c r="IUT169" s="963"/>
      <c r="IUU169" s="2242"/>
      <c r="IUV169" s="1360"/>
      <c r="IUW169" s="955"/>
      <c r="IUX169" s="1361"/>
      <c r="IUY169" s="1360"/>
      <c r="IUZ169" s="1925"/>
      <c r="IVA169" s="955"/>
      <c r="IVB169" s="963"/>
      <c r="IVC169" s="2242"/>
      <c r="IVD169" s="1360"/>
      <c r="IVE169" s="955"/>
      <c r="IVF169" s="1361"/>
      <c r="IVG169" s="1360"/>
      <c r="IVH169" s="1925"/>
      <c r="IVI169" s="955"/>
      <c r="IVJ169" s="963"/>
      <c r="IVK169" s="2242"/>
      <c r="IVL169" s="1360"/>
      <c r="IVM169" s="955"/>
      <c r="IVN169" s="1361"/>
      <c r="IVO169" s="1360"/>
      <c r="IVP169" s="1925"/>
      <c r="IVQ169" s="955"/>
      <c r="IVR169" s="963"/>
      <c r="IVS169" s="2242"/>
      <c r="IVT169" s="1360"/>
      <c r="IVU169" s="955"/>
      <c r="IVV169" s="1361"/>
      <c r="IVW169" s="1360"/>
      <c r="IVX169" s="1925"/>
      <c r="IVY169" s="955"/>
      <c r="IVZ169" s="963"/>
      <c r="IWA169" s="2242"/>
      <c r="IWB169" s="1360"/>
      <c r="IWC169" s="955"/>
      <c r="IWD169" s="1361"/>
      <c r="IWE169" s="1360"/>
      <c r="IWF169" s="1925"/>
      <c r="IWG169" s="955"/>
      <c r="IWH169" s="963"/>
      <c r="IWI169" s="2242"/>
      <c r="IWJ169" s="1360"/>
      <c r="IWK169" s="955"/>
      <c r="IWL169" s="1361"/>
      <c r="IWM169" s="1360"/>
      <c r="IWN169" s="1925"/>
      <c r="IWO169" s="955"/>
      <c r="IWP169" s="963"/>
      <c r="IWQ169" s="2242"/>
      <c r="IWR169" s="1360"/>
      <c r="IWS169" s="955"/>
      <c r="IWT169" s="1361"/>
      <c r="IWU169" s="1360"/>
      <c r="IWV169" s="1925"/>
      <c r="IWW169" s="955"/>
      <c r="IWX169" s="963"/>
      <c r="IWY169" s="2242"/>
      <c r="IWZ169" s="1360"/>
      <c r="IXA169" s="955"/>
      <c r="IXB169" s="1361"/>
      <c r="IXC169" s="1360"/>
      <c r="IXD169" s="1925"/>
      <c r="IXE169" s="955"/>
      <c r="IXF169" s="963"/>
      <c r="IXG169" s="2242"/>
      <c r="IXH169" s="1360"/>
      <c r="IXI169" s="955"/>
      <c r="IXJ169" s="1361"/>
      <c r="IXK169" s="1360"/>
      <c r="IXL169" s="1925"/>
      <c r="IXM169" s="955"/>
      <c r="IXN169" s="963"/>
      <c r="IXO169" s="2242"/>
      <c r="IXP169" s="1360"/>
      <c r="IXQ169" s="955"/>
      <c r="IXR169" s="1361"/>
      <c r="IXS169" s="1360"/>
      <c r="IXT169" s="1925"/>
      <c r="IXU169" s="955"/>
      <c r="IXV169" s="963"/>
      <c r="IXW169" s="2242"/>
      <c r="IXX169" s="1360"/>
      <c r="IXY169" s="955"/>
      <c r="IXZ169" s="1361"/>
      <c r="IYA169" s="1360"/>
      <c r="IYB169" s="1925"/>
      <c r="IYC169" s="955"/>
      <c r="IYD169" s="963"/>
      <c r="IYE169" s="2242"/>
      <c r="IYF169" s="1360"/>
      <c r="IYG169" s="955"/>
      <c r="IYH169" s="1361"/>
      <c r="IYI169" s="1360"/>
      <c r="IYJ169" s="1925"/>
      <c r="IYK169" s="955"/>
      <c r="IYL169" s="963"/>
      <c r="IYM169" s="2242"/>
      <c r="IYN169" s="1360"/>
      <c r="IYO169" s="955"/>
      <c r="IYP169" s="1361"/>
      <c r="IYQ169" s="1360"/>
      <c r="IYR169" s="1925"/>
      <c r="IYS169" s="955"/>
      <c r="IYT169" s="963"/>
      <c r="IYU169" s="2242"/>
      <c r="IYV169" s="1360"/>
      <c r="IYW169" s="955"/>
      <c r="IYX169" s="1361"/>
      <c r="IYY169" s="1360"/>
      <c r="IYZ169" s="1925"/>
      <c r="IZA169" s="955"/>
      <c r="IZB169" s="963"/>
      <c r="IZC169" s="2242"/>
      <c r="IZD169" s="1360"/>
      <c r="IZE169" s="955"/>
      <c r="IZF169" s="1361"/>
      <c r="IZG169" s="1360"/>
      <c r="IZH169" s="1925"/>
      <c r="IZI169" s="955"/>
      <c r="IZJ169" s="963"/>
      <c r="IZK169" s="2242"/>
      <c r="IZL169" s="1360"/>
      <c r="IZM169" s="955"/>
      <c r="IZN169" s="1361"/>
      <c r="IZO169" s="1360"/>
      <c r="IZP169" s="1925"/>
      <c r="IZQ169" s="955"/>
      <c r="IZR169" s="963"/>
      <c r="IZS169" s="2242"/>
      <c r="IZT169" s="1360"/>
      <c r="IZU169" s="955"/>
      <c r="IZV169" s="1361"/>
      <c r="IZW169" s="1360"/>
      <c r="IZX169" s="1925"/>
      <c r="IZY169" s="955"/>
      <c r="IZZ169" s="963"/>
      <c r="JAA169" s="2242"/>
      <c r="JAB169" s="1360"/>
      <c r="JAC169" s="955"/>
      <c r="JAD169" s="1361"/>
      <c r="JAE169" s="1360"/>
      <c r="JAF169" s="1925"/>
      <c r="JAG169" s="955"/>
      <c r="JAH169" s="963"/>
      <c r="JAI169" s="2242"/>
      <c r="JAJ169" s="1360"/>
      <c r="JAK169" s="955"/>
      <c r="JAL169" s="1361"/>
      <c r="JAM169" s="1360"/>
      <c r="JAN169" s="1925"/>
      <c r="JAO169" s="955"/>
      <c r="JAP169" s="963"/>
      <c r="JAQ169" s="2242"/>
      <c r="JAR169" s="1360"/>
      <c r="JAS169" s="955"/>
      <c r="JAT169" s="1361"/>
      <c r="JAU169" s="1360"/>
      <c r="JAV169" s="1925"/>
      <c r="JAW169" s="955"/>
      <c r="JAX169" s="963"/>
      <c r="JAY169" s="2242"/>
      <c r="JAZ169" s="1360"/>
      <c r="JBA169" s="955"/>
      <c r="JBB169" s="1361"/>
      <c r="JBC169" s="1360"/>
      <c r="JBD169" s="1925"/>
      <c r="JBE169" s="955"/>
      <c r="JBF169" s="963"/>
      <c r="JBG169" s="2242"/>
      <c r="JBH169" s="1360"/>
      <c r="JBI169" s="955"/>
      <c r="JBJ169" s="1361"/>
      <c r="JBK169" s="1360"/>
      <c r="JBL169" s="1925"/>
      <c r="JBM169" s="955"/>
      <c r="JBN169" s="963"/>
      <c r="JBO169" s="2242"/>
      <c r="JBP169" s="1360"/>
      <c r="JBQ169" s="955"/>
      <c r="JBR169" s="1361"/>
      <c r="JBS169" s="1360"/>
      <c r="JBT169" s="1925"/>
      <c r="JBU169" s="955"/>
      <c r="JBV169" s="963"/>
      <c r="JBW169" s="2242"/>
      <c r="JBX169" s="1360"/>
      <c r="JBY169" s="955"/>
      <c r="JBZ169" s="1361"/>
      <c r="JCA169" s="1360"/>
      <c r="JCB169" s="1925"/>
      <c r="JCC169" s="955"/>
      <c r="JCD169" s="963"/>
      <c r="JCE169" s="2242"/>
      <c r="JCF169" s="1360"/>
      <c r="JCG169" s="955"/>
      <c r="JCH169" s="1361"/>
      <c r="JCI169" s="1360"/>
      <c r="JCJ169" s="1925"/>
      <c r="JCK169" s="955"/>
      <c r="JCL169" s="963"/>
      <c r="JCM169" s="2242"/>
      <c r="JCN169" s="1360"/>
      <c r="JCO169" s="955"/>
      <c r="JCP169" s="1361"/>
      <c r="JCQ169" s="1360"/>
      <c r="JCR169" s="1925"/>
      <c r="JCS169" s="955"/>
      <c r="JCT169" s="963"/>
      <c r="JCU169" s="2242"/>
      <c r="JCV169" s="1360"/>
      <c r="JCW169" s="955"/>
      <c r="JCX169" s="1361"/>
      <c r="JCY169" s="1360"/>
      <c r="JCZ169" s="1925"/>
      <c r="JDA169" s="955"/>
      <c r="JDB169" s="963"/>
      <c r="JDC169" s="2242"/>
      <c r="JDD169" s="1360"/>
      <c r="JDE169" s="955"/>
      <c r="JDF169" s="1361"/>
      <c r="JDG169" s="1360"/>
      <c r="JDH169" s="1925"/>
      <c r="JDI169" s="955"/>
      <c r="JDJ169" s="963"/>
      <c r="JDK169" s="2242"/>
      <c r="JDL169" s="1360"/>
      <c r="JDM169" s="955"/>
      <c r="JDN169" s="1361"/>
      <c r="JDO169" s="1360"/>
      <c r="JDP169" s="1925"/>
      <c r="JDQ169" s="955"/>
      <c r="JDR169" s="963"/>
      <c r="JDS169" s="2242"/>
      <c r="JDT169" s="1360"/>
      <c r="JDU169" s="955"/>
      <c r="JDV169" s="1361"/>
      <c r="JDW169" s="1360"/>
      <c r="JDX169" s="1925"/>
      <c r="JDY169" s="955"/>
      <c r="JDZ169" s="963"/>
      <c r="JEA169" s="2242"/>
      <c r="JEB169" s="1360"/>
      <c r="JEC169" s="955"/>
      <c r="JED169" s="1361"/>
      <c r="JEE169" s="1360"/>
      <c r="JEF169" s="1925"/>
      <c r="JEG169" s="955"/>
      <c r="JEH169" s="963"/>
      <c r="JEI169" s="2242"/>
      <c r="JEJ169" s="1360"/>
      <c r="JEK169" s="955"/>
      <c r="JEL169" s="1361"/>
      <c r="JEM169" s="1360"/>
      <c r="JEN169" s="1925"/>
      <c r="JEO169" s="955"/>
      <c r="JEP169" s="963"/>
      <c r="JEQ169" s="2242"/>
      <c r="JER169" s="1360"/>
      <c r="JES169" s="955"/>
      <c r="JET169" s="1361"/>
      <c r="JEU169" s="1360"/>
      <c r="JEV169" s="1925"/>
      <c r="JEW169" s="955"/>
      <c r="JEX169" s="963"/>
      <c r="JEY169" s="2242"/>
      <c r="JEZ169" s="1360"/>
      <c r="JFA169" s="955"/>
      <c r="JFB169" s="1361"/>
      <c r="JFC169" s="1360"/>
      <c r="JFD169" s="1925"/>
      <c r="JFE169" s="955"/>
      <c r="JFF169" s="963"/>
      <c r="JFG169" s="2242"/>
      <c r="JFH169" s="1360"/>
      <c r="JFI169" s="955"/>
      <c r="JFJ169" s="1361"/>
      <c r="JFK169" s="1360"/>
      <c r="JFL169" s="1925"/>
      <c r="JFM169" s="955"/>
      <c r="JFN169" s="963"/>
      <c r="JFO169" s="2242"/>
      <c r="JFP169" s="1360"/>
      <c r="JFQ169" s="955"/>
      <c r="JFR169" s="1361"/>
      <c r="JFS169" s="1360"/>
      <c r="JFT169" s="1925"/>
      <c r="JFU169" s="955"/>
      <c r="JFV169" s="963"/>
      <c r="JFW169" s="2242"/>
      <c r="JFX169" s="1360"/>
      <c r="JFY169" s="955"/>
      <c r="JFZ169" s="1361"/>
      <c r="JGA169" s="1360"/>
      <c r="JGB169" s="1925"/>
      <c r="JGC169" s="955"/>
      <c r="JGD169" s="963"/>
      <c r="JGE169" s="2242"/>
      <c r="JGF169" s="1360"/>
      <c r="JGG169" s="955"/>
      <c r="JGH169" s="1361"/>
      <c r="JGI169" s="1360"/>
      <c r="JGJ169" s="1925"/>
      <c r="JGK169" s="955"/>
      <c r="JGL169" s="963"/>
      <c r="JGM169" s="2242"/>
      <c r="JGN169" s="1360"/>
      <c r="JGO169" s="955"/>
      <c r="JGP169" s="1361"/>
      <c r="JGQ169" s="1360"/>
      <c r="JGR169" s="1925"/>
      <c r="JGS169" s="955"/>
      <c r="JGT169" s="963"/>
      <c r="JGU169" s="2242"/>
      <c r="JGV169" s="1360"/>
      <c r="JGW169" s="955"/>
      <c r="JGX169" s="1361"/>
      <c r="JGY169" s="1360"/>
      <c r="JGZ169" s="1925"/>
      <c r="JHA169" s="955"/>
      <c r="JHB169" s="963"/>
      <c r="JHC169" s="2242"/>
      <c r="JHD169" s="1360"/>
      <c r="JHE169" s="955"/>
      <c r="JHF169" s="1361"/>
      <c r="JHG169" s="1360"/>
      <c r="JHH169" s="1925"/>
      <c r="JHI169" s="955"/>
      <c r="JHJ169" s="963"/>
      <c r="JHK169" s="2242"/>
      <c r="JHL169" s="1360"/>
      <c r="JHM169" s="955"/>
      <c r="JHN169" s="1361"/>
      <c r="JHO169" s="1360"/>
      <c r="JHP169" s="1925"/>
      <c r="JHQ169" s="955"/>
      <c r="JHR169" s="963"/>
      <c r="JHS169" s="2242"/>
      <c r="JHT169" s="1360"/>
      <c r="JHU169" s="955"/>
      <c r="JHV169" s="1361"/>
      <c r="JHW169" s="1360"/>
      <c r="JHX169" s="1925"/>
      <c r="JHY169" s="955"/>
      <c r="JHZ169" s="963"/>
      <c r="JIA169" s="2242"/>
      <c r="JIB169" s="1360"/>
      <c r="JIC169" s="955"/>
      <c r="JID169" s="1361"/>
      <c r="JIE169" s="1360"/>
      <c r="JIF169" s="1925"/>
      <c r="JIG169" s="955"/>
      <c r="JIH169" s="963"/>
      <c r="JII169" s="2242"/>
      <c r="JIJ169" s="1360"/>
      <c r="JIK169" s="955"/>
      <c r="JIL169" s="1361"/>
      <c r="JIM169" s="1360"/>
      <c r="JIN169" s="1925"/>
      <c r="JIO169" s="955"/>
      <c r="JIP169" s="963"/>
      <c r="JIQ169" s="2242"/>
      <c r="JIR169" s="1360"/>
      <c r="JIS169" s="955"/>
      <c r="JIT169" s="1361"/>
      <c r="JIU169" s="1360"/>
      <c r="JIV169" s="1925"/>
      <c r="JIW169" s="955"/>
      <c r="JIX169" s="963"/>
      <c r="JIY169" s="2242"/>
      <c r="JIZ169" s="1360"/>
      <c r="JJA169" s="955"/>
      <c r="JJB169" s="1361"/>
      <c r="JJC169" s="1360"/>
      <c r="JJD169" s="1925"/>
      <c r="JJE169" s="955"/>
      <c r="JJF169" s="963"/>
      <c r="JJG169" s="2242"/>
      <c r="JJH169" s="1360"/>
      <c r="JJI169" s="955"/>
      <c r="JJJ169" s="1361"/>
      <c r="JJK169" s="1360"/>
      <c r="JJL169" s="1925"/>
      <c r="JJM169" s="955"/>
      <c r="JJN169" s="963"/>
      <c r="JJO169" s="2242"/>
      <c r="JJP169" s="1360"/>
      <c r="JJQ169" s="955"/>
      <c r="JJR169" s="1361"/>
      <c r="JJS169" s="1360"/>
      <c r="JJT169" s="1925"/>
      <c r="JJU169" s="955"/>
      <c r="JJV169" s="963"/>
      <c r="JJW169" s="2242"/>
      <c r="JJX169" s="1360"/>
      <c r="JJY169" s="955"/>
      <c r="JJZ169" s="1361"/>
      <c r="JKA169" s="1360"/>
      <c r="JKB169" s="1925"/>
      <c r="JKC169" s="955"/>
      <c r="JKD169" s="963"/>
      <c r="JKE169" s="2242"/>
      <c r="JKF169" s="1360"/>
      <c r="JKG169" s="955"/>
      <c r="JKH169" s="1361"/>
      <c r="JKI169" s="1360"/>
      <c r="JKJ169" s="1925"/>
      <c r="JKK169" s="955"/>
      <c r="JKL169" s="963"/>
      <c r="JKM169" s="2242"/>
      <c r="JKN169" s="1360"/>
      <c r="JKO169" s="955"/>
      <c r="JKP169" s="1361"/>
      <c r="JKQ169" s="1360"/>
      <c r="JKR169" s="1925"/>
      <c r="JKS169" s="955"/>
      <c r="JKT169" s="963"/>
      <c r="JKU169" s="2242"/>
      <c r="JKV169" s="1360"/>
      <c r="JKW169" s="955"/>
      <c r="JKX169" s="1361"/>
      <c r="JKY169" s="1360"/>
      <c r="JKZ169" s="1925"/>
      <c r="JLA169" s="955"/>
      <c r="JLB169" s="963"/>
      <c r="JLC169" s="2242"/>
      <c r="JLD169" s="1360"/>
      <c r="JLE169" s="955"/>
      <c r="JLF169" s="1361"/>
      <c r="JLG169" s="1360"/>
      <c r="JLH169" s="1925"/>
      <c r="JLI169" s="955"/>
      <c r="JLJ169" s="963"/>
      <c r="JLK169" s="2242"/>
      <c r="JLL169" s="1360"/>
      <c r="JLM169" s="955"/>
      <c r="JLN169" s="1361"/>
      <c r="JLO169" s="1360"/>
      <c r="JLP169" s="1925"/>
      <c r="JLQ169" s="955"/>
      <c r="JLR169" s="963"/>
      <c r="JLS169" s="2242"/>
      <c r="JLT169" s="1360"/>
      <c r="JLU169" s="955"/>
      <c r="JLV169" s="1361"/>
      <c r="JLW169" s="1360"/>
      <c r="JLX169" s="1925"/>
      <c r="JLY169" s="955"/>
      <c r="JLZ169" s="963"/>
      <c r="JMA169" s="2242"/>
      <c r="JMB169" s="1360"/>
      <c r="JMC169" s="955"/>
      <c r="JMD169" s="1361"/>
      <c r="JME169" s="1360"/>
      <c r="JMF169" s="1925"/>
      <c r="JMG169" s="955"/>
      <c r="JMH169" s="963"/>
      <c r="JMI169" s="2242"/>
      <c r="JMJ169" s="1360"/>
      <c r="JMK169" s="955"/>
      <c r="JML169" s="1361"/>
      <c r="JMM169" s="1360"/>
      <c r="JMN169" s="1925"/>
      <c r="JMO169" s="955"/>
      <c r="JMP169" s="963"/>
      <c r="JMQ169" s="2242"/>
      <c r="JMR169" s="1360"/>
      <c r="JMS169" s="955"/>
      <c r="JMT169" s="1361"/>
      <c r="JMU169" s="1360"/>
      <c r="JMV169" s="1925"/>
      <c r="JMW169" s="955"/>
      <c r="JMX169" s="963"/>
      <c r="JMY169" s="2242"/>
      <c r="JMZ169" s="1360"/>
      <c r="JNA169" s="955"/>
      <c r="JNB169" s="1361"/>
      <c r="JNC169" s="1360"/>
      <c r="JND169" s="1925"/>
      <c r="JNE169" s="955"/>
      <c r="JNF169" s="963"/>
      <c r="JNG169" s="2242"/>
      <c r="JNH169" s="1360"/>
      <c r="JNI169" s="955"/>
      <c r="JNJ169" s="1361"/>
      <c r="JNK169" s="1360"/>
      <c r="JNL169" s="1925"/>
      <c r="JNM169" s="955"/>
      <c r="JNN169" s="963"/>
      <c r="JNO169" s="2242"/>
      <c r="JNP169" s="1360"/>
      <c r="JNQ169" s="955"/>
      <c r="JNR169" s="1361"/>
      <c r="JNS169" s="1360"/>
      <c r="JNT169" s="1925"/>
      <c r="JNU169" s="955"/>
      <c r="JNV169" s="963"/>
      <c r="JNW169" s="2242"/>
      <c r="JNX169" s="1360"/>
      <c r="JNY169" s="955"/>
      <c r="JNZ169" s="1361"/>
      <c r="JOA169" s="1360"/>
      <c r="JOB169" s="1925"/>
      <c r="JOC169" s="955"/>
      <c r="JOD169" s="963"/>
      <c r="JOE169" s="2242"/>
      <c r="JOF169" s="1360"/>
      <c r="JOG169" s="955"/>
      <c r="JOH169" s="1361"/>
      <c r="JOI169" s="1360"/>
      <c r="JOJ169" s="1925"/>
      <c r="JOK169" s="955"/>
      <c r="JOL169" s="963"/>
      <c r="JOM169" s="2242"/>
      <c r="JON169" s="1360"/>
      <c r="JOO169" s="955"/>
      <c r="JOP169" s="1361"/>
      <c r="JOQ169" s="1360"/>
      <c r="JOR169" s="1925"/>
      <c r="JOS169" s="955"/>
      <c r="JOT169" s="963"/>
      <c r="JOU169" s="2242"/>
      <c r="JOV169" s="1360"/>
      <c r="JOW169" s="955"/>
      <c r="JOX169" s="1361"/>
      <c r="JOY169" s="1360"/>
      <c r="JOZ169" s="1925"/>
      <c r="JPA169" s="955"/>
      <c r="JPB169" s="963"/>
      <c r="JPC169" s="2242"/>
      <c r="JPD169" s="1360"/>
      <c r="JPE169" s="955"/>
      <c r="JPF169" s="1361"/>
      <c r="JPG169" s="1360"/>
      <c r="JPH169" s="1925"/>
      <c r="JPI169" s="955"/>
      <c r="JPJ169" s="963"/>
      <c r="JPK169" s="2242"/>
      <c r="JPL169" s="1360"/>
      <c r="JPM169" s="955"/>
      <c r="JPN169" s="1361"/>
      <c r="JPO169" s="1360"/>
      <c r="JPP169" s="1925"/>
      <c r="JPQ169" s="955"/>
      <c r="JPR169" s="963"/>
      <c r="JPS169" s="2242"/>
      <c r="JPT169" s="1360"/>
      <c r="JPU169" s="955"/>
      <c r="JPV169" s="1361"/>
      <c r="JPW169" s="1360"/>
      <c r="JPX169" s="1925"/>
      <c r="JPY169" s="955"/>
      <c r="JPZ169" s="963"/>
      <c r="JQA169" s="2242"/>
      <c r="JQB169" s="1360"/>
      <c r="JQC169" s="955"/>
      <c r="JQD169" s="1361"/>
      <c r="JQE169" s="1360"/>
      <c r="JQF169" s="1925"/>
      <c r="JQG169" s="955"/>
      <c r="JQH169" s="963"/>
      <c r="JQI169" s="2242"/>
      <c r="JQJ169" s="1360"/>
      <c r="JQK169" s="955"/>
      <c r="JQL169" s="1361"/>
      <c r="JQM169" s="1360"/>
      <c r="JQN169" s="1925"/>
      <c r="JQO169" s="955"/>
      <c r="JQP169" s="963"/>
      <c r="JQQ169" s="2242"/>
      <c r="JQR169" s="1360"/>
      <c r="JQS169" s="955"/>
      <c r="JQT169" s="1361"/>
      <c r="JQU169" s="1360"/>
      <c r="JQV169" s="1925"/>
      <c r="JQW169" s="955"/>
      <c r="JQX169" s="963"/>
      <c r="JQY169" s="2242"/>
      <c r="JQZ169" s="1360"/>
      <c r="JRA169" s="955"/>
      <c r="JRB169" s="1361"/>
      <c r="JRC169" s="1360"/>
      <c r="JRD169" s="1925"/>
      <c r="JRE169" s="955"/>
      <c r="JRF169" s="963"/>
      <c r="JRG169" s="2242"/>
      <c r="JRH169" s="1360"/>
      <c r="JRI169" s="955"/>
      <c r="JRJ169" s="1361"/>
      <c r="JRK169" s="1360"/>
      <c r="JRL169" s="1925"/>
      <c r="JRM169" s="955"/>
      <c r="JRN169" s="963"/>
      <c r="JRO169" s="2242"/>
      <c r="JRP169" s="1360"/>
      <c r="JRQ169" s="955"/>
      <c r="JRR169" s="1361"/>
      <c r="JRS169" s="1360"/>
      <c r="JRT169" s="1925"/>
      <c r="JRU169" s="955"/>
      <c r="JRV169" s="963"/>
      <c r="JRW169" s="2242"/>
      <c r="JRX169" s="1360"/>
      <c r="JRY169" s="955"/>
      <c r="JRZ169" s="1361"/>
      <c r="JSA169" s="1360"/>
      <c r="JSB169" s="1925"/>
      <c r="JSC169" s="955"/>
      <c r="JSD169" s="963"/>
      <c r="JSE169" s="2242"/>
      <c r="JSF169" s="1360"/>
      <c r="JSG169" s="955"/>
      <c r="JSH169" s="1361"/>
      <c r="JSI169" s="1360"/>
      <c r="JSJ169" s="1925"/>
      <c r="JSK169" s="955"/>
      <c r="JSL169" s="963"/>
      <c r="JSM169" s="2242"/>
      <c r="JSN169" s="1360"/>
      <c r="JSO169" s="955"/>
      <c r="JSP169" s="1361"/>
      <c r="JSQ169" s="1360"/>
      <c r="JSR169" s="1925"/>
      <c r="JSS169" s="955"/>
      <c r="JST169" s="963"/>
      <c r="JSU169" s="2242"/>
      <c r="JSV169" s="1360"/>
      <c r="JSW169" s="955"/>
      <c r="JSX169" s="1361"/>
      <c r="JSY169" s="1360"/>
      <c r="JSZ169" s="1925"/>
      <c r="JTA169" s="955"/>
      <c r="JTB169" s="963"/>
      <c r="JTC169" s="2242"/>
      <c r="JTD169" s="1360"/>
      <c r="JTE169" s="955"/>
      <c r="JTF169" s="1361"/>
      <c r="JTG169" s="1360"/>
      <c r="JTH169" s="1925"/>
      <c r="JTI169" s="955"/>
      <c r="JTJ169" s="963"/>
      <c r="JTK169" s="2242"/>
      <c r="JTL169" s="1360"/>
      <c r="JTM169" s="955"/>
      <c r="JTN169" s="1361"/>
      <c r="JTO169" s="1360"/>
      <c r="JTP169" s="1925"/>
      <c r="JTQ169" s="955"/>
      <c r="JTR169" s="963"/>
      <c r="JTS169" s="2242"/>
      <c r="JTT169" s="1360"/>
      <c r="JTU169" s="955"/>
      <c r="JTV169" s="1361"/>
      <c r="JTW169" s="1360"/>
      <c r="JTX169" s="1925"/>
      <c r="JTY169" s="955"/>
      <c r="JTZ169" s="963"/>
      <c r="JUA169" s="2242"/>
      <c r="JUB169" s="1360"/>
      <c r="JUC169" s="955"/>
      <c r="JUD169" s="1361"/>
      <c r="JUE169" s="1360"/>
      <c r="JUF169" s="1925"/>
      <c r="JUG169" s="955"/>
      <c r="JUH169" s="963"/>
      <c r="JUI169" s="2242"/>
      <c r="JUJ169" s="1360"/>
      <c r="JUK169" s="955"/>
      <c r="JUL169" s="1361"/>
      <c r="JUM169" s="1360"/>
      <c r="JUN169" s="1925"/>
      <c r="JUO169" s="955"/>
      <c r="JUP169" s="963"/>
      <c r="JUQ169" s="2242"/>
      <c r="JUR169" s="1360"/>
      <c r="JUS169" s="955"/>
      <c r="JUT169" s="1361"/>
      <c r="JUU169" s="1360"/>
      <c r="JUV169" s="1925"/>
      <c r="JUW169" s="955"/>
      <c r="JUX169" s="963"/>
      <c r="JUY169" s="2242"/>
      <c r="JUZ169" s="1360"/>
      <c r="JVA169" s="955"/>
      <c r="JVB169" s="1361"/>
      <c r="JVC169" s="1360"/>
      <c r="JVD169" s="1925"/>
      <c r="JVE169" s="955"/>
      <c r="JVF169" s="963"/>
      <c r="JVG169" s="2242"/>
      <c r="JVH169" s="1360"/>
      <c r="JVI169" s="955"/>
      <c r="JVJ169" s="1361"/>
      <c r="JVK169" s="1360"/>
      <c r="JVL169" s="1925"/>
      <c r="JVM169" s="955"/>
      <c r="JVN169" s="963"/>
      <c r="JVO169" s="2242"/>
      <c r="JVP169" s="1360"/>
      <c r="JVQ169" s="955"/>
      <c r="JVR169" s="1361"/>
      <c r="JVS169" s="1360"/>
      <c r="JVT169" s="1925"/>
      <c r="JVU169" s="955"/>
      <c r="JVV169" s="963"/>
      <c r="JVW169" s="2242"/>
      <c r="JVX169" s="1360"/>
      <c r="JVY169" s="955"/>
      <c r="JVZ169" s="1361"/>
      <c r="JWA169" s="1360"/>
      <c r="JWB169" s="1925"/>
      <c r="JWC169" s="955"/>
      <c r="JWD169" s="963"/>
      <c r="JWE169" s="2242"/>
      <c r="JWF169" s="1360"/>
      <c r="JWG169" s="955"/>
      <c r="JWH169" s="1361"/>
      <c r="JWI169" s="1360"/>
      <c r="JWJ169" s="1925"/>
      <c r="JWK169" s="955"/>
      <c r="JWL169" s="963"/>
      <c r="JWM169" s="2242"/>
      <c r="JWN169" s="1360"/>
      <c r="JWO169" s="955"/>
      <c r="JWP169" s="1361"/>
      <c r="JWQ169" s="1360"/>
      <c r="JWR169" s="1925"/>
      <c r="JWS169" s="955"/>
      <c r="JWT169" s="963"/>
      <c r="JWU169" s="2242"/>
      <c r="JWV169" s="1360"/>
      <c r="JWW169" s="955"/>
      <c r="JWX169" s="1361"/>
      <c r="JWY169" s="1360"/>
      <c r="JWZ169" s="1925"/>
      <c r="JXA169" s="955"/>
      <c r="JXB169" s="963"/>
      <c r="JXC169" s="2242"/>
      <c r="JXD169" s="1360"/>
      <c r="JXE169" s="955"/>
      <c r="JXF169" s="1361"/>
      <c r="JXG169" s="1360"/>
      <c r="JXH169" s="1925"/>
      <c r="JXI169" s="955"/>
      <c r="JXJ169" s="963"/>
      <c r="JXK169" s="2242"/>
      <c r="JXL169" s="1360"/>
      <c r="JXM169" s="955"/>
      <c r="JXN169" s="1361"/>
      <c r="JXO169" s="1360"/>
      <c r="JXP169" s="1925"/>
      <c r="JXQ169" s="955"/>
      <c r="JXR169" s="963"/>
      <c r="JXS169" s="2242"/>
      <c r="JXT169" s="1360"/>
      <c r="JXU169" s="955"/>
      <c r="JXV169" s="1361"/>
      <c r="JXW169" s="1360"/>
      <c r="JXX169" s="1925"/>
      <c r="JXY169" s="955"/>
      <c r="JXZ169" s="963"/>
      <c r="JYA169" s="2242"/>
      <c r="JYB169" s="1360"/>
      <c r="JYC169" s="955"/>
      <c r="JYD169" s="1361"/>
      <c r="JYE169" s="1360"/>
      <c r="JYF169" s="1925"/>
      <c r="JYG169" s="955"/>
      <c r="JYH169" s="963"/>
      <c r="JYI169" s="2242"/>
      <c r="JYJ169" s="1360"/>
      <c r="JYK169" s="955"/>
      <c r="JYL169" s="1361"/>
      <c r="JYM169" s="1360"/>
      <c r="JYN169" s="1925"/>
      <c r="JYO169" s="955"/>
      <c r="JYP169" s="963"/>
      <c r="JYQ169" s="2242"/>
      <c r="JYR169" s="1360"/>
      <c r="JYS169" s="955"/>
      <c r="JYT169" s="1361"/>
      <c r="JYU169" s="1360"/>
      <c r="JYV169" s="1925"/>
      <c r="JYW169" s="955"/>
      <c r="JYX169" s="963"/>
      <c r="JYY169" s="2242"/>
      <c r="JYZ169" s="1360"/>
      <c r="JZA169" s="955"/>
      <c r="JZB169" s="1361"/>
      <c r="JZC169" s="1360"/>
      <c r="JZD169" s="1925"/>
      <c r="JZE169" s="955"/>
      <c r="JZF169" s="963"/>
      <c r="JZG169" s="2242"/>
      <c r="JZH169" s="1360"/>
      <c r="JZI169" s="955"/>
      <c r="JZJ169" s="1361"/>
      <c r="JZK169" s="1360"/>
      <c r="JZL169" s="1925"/>
      <c r="JZM169" s="955"/>
      <c r="JZN169" s="963"/>
      <c r="JZO169" s="2242"/>
      <c r="JZP169" s="1360"/>
      <c r="JZQ169" s="955"/>
      <c r="JZR169" s="1361"/>
      <c r="JZS169" s="1360"/>
      <c r="JZT169" s="1925"/>
      <c r="JZU169" s="955"/>
      <c r="JZV169" s="963"/>
      <c r="JZW169" s="2242"/>
      <c r="JZX169" s="1360"/>
      <c r="JZY169" s="955"/>
      <c r="JZZ169" s="1361"/>
      <c r="KAA169" s="1360"/>
      <c r="KAB169" s="1925"/>
      <c r="KAC169" s="955"/>
      <c r="KAD169" s="963"/>
      <c r="KAE169" s="2242"/>
      <c r="KAF169" s="1360"/>
      <c r="KAG169" s="955"/>
      <c r="KAH169" s="1361"/>
      <c r="KAI169" s="1360"/>
      <c r="KAJ169" s="1925"/>
      <c r="KAK169" s="955"/>
      <c r="KAL169" s="963"/>
      <c r="KAM169" s="2242"/>
      <c r="KAN169" s="1360"/>
      <c r="KAO169" s="955"/>
      <c r="KAP169" s="1361"/>
      <c r="KAQ169" s="1360"/>
      <c r="KAR169" s="1925"/>
      <c r="KAS169" s="955"/>
      <c r="KAT169" s="963"/>
      <c r="KAU169" s="2242"/>
      <c r="KAV169" s="1360"/>
      <c r="KAW169" s="955"/>
      <c r="KAX169" s="1361"/>
      <c r="KAY169" s="1360"/>
      <c r="KAZ169" s="1925"/>
      <c r="KBA169" s="955"/>
      <c r="KBB169" s="963"/>
      <c r="KBC169" s="2242"/>
      <c r="KBD169" s="1360"/>
      <c r="KBE169" s="955"/>
      <c r="KBF169" s="1361"/>
      <c r="KBG169" s="1360"/>
      <c r="KBH169" s="1925"/>
      <c r="KBI169" s="955"/>
      <c r="KBJ169" s="963"/>
      <c r="KBK169" s="2242"/>
      <c r="KBL169" s="1360"/>
      <c r="KBM169" s="955"/>
      <c r="KBN169" s="1361"/>
      <c r="KBO169" s="1360"/>
      <c r="KBP169" s="1925"/>
      <c r="KBQ169" s="955"/>
      <c r="KBR169" s="963"/>
      <c r="KBS169" s="2242"/>
      <c r="KBT169" s="1360"/>
      <c r="KBU169" s="955"/>
      <c r="KBV169" s="1361"/>
      <c r="KBW169" s="1360"/>
      <c r="KBX169" s="1925"/>
      <c r="KBY169" s="955"/>
      <c r="KBZ169" s="963"/>
      <c r="KCA169" s="2242"/>
      <c r="KCB169" s="1360"/>
      <c r="KCC169" s="955"/>
      <c r="KCD169" s="1361"/>
      <c r="KCE169" s="1360"/>
      <c r="KCF169" s="1925"/>
      <c r="KCG169" s="955"/>
      <c r="KCH169" s="963"/>
      <c r="KCI169" s="2242"/>
      <c r="KCJ169" s="1360"/>
      <c r="KCK169" s="955"/>
      <c r="KCL169" s="1361"/>
      <c r="KCM169" s="1360"/>
      <c r="KCN169" s="1925"/>
      <c r="KCO169" s="955"/>
      <c r="KCP169" s="963"/>
      <c r="KCQ169" s="2242"/>
      <c r="KCR169" s="1360"/>
      <c r="KCS169" s="955"/>
      <c r="KCT169" s="1361"/>
      <c r="KCU169" s="1360"/>
      <c r="KCV169" s="1925"/>
      <c r="KCW169" s="955"/>
      <c r="KCX169" s="963"/>
      <c r="KCY169" s="2242"/>
      <c r="KCZ169" s="1360"/>
      <c r="KDA169" s="955"/>
      <c r="KDB169" s="1361"/>
      <c r="KDC169" s="1360"/>
      <c r="KDD169" s="1925"/>
      <c r="KDE169" s="955"/>
      <c r="KDF169" s="963"/>
      <c r="KDG169" s="2242"/>
      <c r="KDH169" s="1360"/>
      <c r="KDI169" s="955"/>
      <c r="KDJ169" s="1361"/>
      <c r="KDK169" s="1360"/>
      <c r="KDL169" s="1925"/>
      <c r="KDM169" s="955"/>
      <c r="KDN169" s="963"/>
      <c r="KDO169" s="2242"/>
      <c r="KDP169" s="1360"/>
      <c r="KDQ169" s="955"/>
      <c r="KDR169" s="1361"/>
      <c r="KDS169" s="1360"/>
      <c r="KDT169" s="1925"/>
      <c r="KDU169" s="955"/>
      <c r="KDV169" s="963"/>
      <c r="KDW169" s="2242"/>
      <c r="KDX169" s="1360"/>
      <c r="KDY169" s="955"/>
      <c r="KDZ169" s="1361"/>
      <c r="KEA169" s="1360"/>
      <c r="KEB169" s="1925"/>
      <c r="KEC169" s="955"/>
      <c r="KED169" s="963"/>
      <c r="KEE169" s="2242"/>
      <c r="KEF169" s="1360"/>
      <c r="KEG169" s="955"/>
      <c r="KEH169" s="1361"/>
      <c r="KEI169" s="1360"/>
      <c r="KEJ169" s="1925"/>
      <c r="KEK169" s="955"/>
      <c r="KEL169" s="963"/>
      <c r="KEM169" s="2242"/>
      <c r="KEN169" s="1360"/>
      <c r="KEO169" s="955"/>
      <c r="KEP169" s="1361"/>
      <c r="KEQ169" s="1360"/>
      <c r="KER169" s="1925"/>
      <c r="KES169" s="955"/>
      <c r="KET169" s="963"/>
      <c r="KEU169" s="2242"/>
      <c r="KEV169" s="1360"/>
      <c r="KEW169" s="955"/>
      <c r="KEX169" s="1361"/>
      <c r="KEY169" s="1360"/>
      <c r="KEZ169" s="1925"/>
      <c r="KFA169" s="955"/>
      <c r="KFB169" s="963"/>
      <c r="KFC169" s="2242"/>
      <c r="KFD169" s="1360"/>
      <c r="KFE169" s="955"/>
      <c r="KFF169" s="1361"/>
      <c r="KFG169" s="1360"/>
      <c r="KFH169" s="1925"/>
      <c r="KFI169" s="955"/>
      <c r="KFJ169" s="963"/>
      <c r="KFK169" s="2242"/>
      <c r="KFL169" s="1360"/>
      <c r="KFM169" s="955"/>
      <c r="KFN169" s="1361"/>
      <c r="KFO169" s="1360"/>
      <c r="KFP169" s="1925"/>
      <c r="KFQ169" s="955"/>
      <c r="KFR169" s="963"/>
      <c r="KFS169" s="2242"/>
      <c r="KFT169" s="1360"/>
      <c r="KFU169" s="955"/>
      <c r="KFV169" s="1361"/>
      <c r="KFW169" s="1360"/>
      <c r="KFX169" s="1925"/>
      <c r="KFY169" s="955"/>
      <c r="KFZ169" s="963"/>
      <c r="KGA169" s="2242"/>
      <c r="KGB169" s="1360"/>
      <c r="KGC169" s="955"/>
      <c r="KGD169" s="1361"/>
      <c r="KGE169" s="1360"/>
      <c r="KGF169" s="1925"/>
      <c r="KGG169" s="955"/>
      <c r="KGH169" s="963"/>
      <c r="KGI169" s="2242"/>
      <c r="KGJ169" s="1360"/>
      <c r="KGK169" s="955"/>
      <c r="KGL169" s="1361"/>
      <c r="KGM169" s="1360"/>
      <c r="KGN169" s="1925"/>
      <c r="KGO169" s="955"/>
      <c r="KGP169" s="963"/>
      <c r="KGQ169" s="2242"/>
      <c r="KGR169" s="1360"/>
      <c r="KGS169" s="955"/>
      <c r="KGT169" s="1361"/>
      <c r="KGU169" s="1360"/>
      <c r="KGV169" s="1925"/>
      <c r="KGW169" s="955"/>
      <c r="KGX169" s="963"/>
      <c r="KGY169" s="2242"/>
      <c r="KGZ169" s="1360"/>
      <c r="KHA169" s="955"/>
      <c r="KHB169" s="1361"/>
      <c r="KHC169" s="1360"/>
      <c r="KHD169" s="1925"/>
      <c r="KHE169" s="955"/>
      <c r="KHF169" s="963"/>
      <c r="KHG169" s="2242"/>
      <c r="KHH169" s="1360"/>
      <c r="KHI169" s="955"/>
      <c r="KHJ169" s="1361"/>
      <c r="KHK169" s="1360"/>
      <c r="KHL169" s="1925"/>
      <c r="KHM169" s="955"/>
      <c r="KHN169" s="963"/>
      <c r="KHO169" s="2242"/>
      <c r="KHP169" s="1360"/>
      <c r="KHQ169" s="955"/>
      <c r="KHR169" s="1361"/>
      <c r="KHS169" s="1360"/>
      <c r="KHT169" s="1925"/>
      <c r="KHU169" s="955"/>
      <c r="KHV169" s="963"/>
      <c r="KHW169" s="2242"/>
      <c r="KHX169" s="1360"/>
      <c r="KHY169" s="955"/>
      <c r="KHZ169" s="1361"/>
      <c r="KIA169" s="1360"/>
      <c r="KIB169" s="1925"/>
      <c r="KIC169" s="955"/>
      <c r="KID169" s="963"/>
      <c r="KIE169" s="2242"/>
      <c r="KIF169" s="1360"/>
      <c r="KIG169" s="955"/>
      <c r="KIH169" s="1361"/>
      <c r="KII169" s="1360"/>
      <c r="KIJ169" s="1925"/>
      <c r="KIK169" s="955"/>
      <c r="KIL169" s="963"/>
      <c r="KIM169" s="2242"/>
      <c r="KIN169" s="1360"/>
      <c r="KIO169" s="955"/>
      <c r="KIP169" s="1361"/>
      <c r="KIQ169" s="1360"/>
      <c r="KIR169" s="1925"/>
      <c r="KIS169" s="955"/>
      <c r="KIT169" s="963"/>
      <c r="KIU169" s="2242"/>
      <c r="KIV169" s="1360"/>
      <c r="KIW169" s="955"/>
      <c r="KIX169" s="1361"/>
      <c r="KIY169" s="1360"/>
      <c r="KIZ169" s="1925"/>
      <c r="KJA169" s="955"/>
      <c r="KJB169" s="963"/>
      <c r="KJC169" s="2242"/>
      <c r="KJD169" s="1360"/>
      <c r="KJE169" s="955"/>
      <c r="KJF169" s="1361"/>
      <c r="KJG169" s="1360"/>
      <c r="KJH169" s="1925"/>
      <c r="KJI169" s="955"/>
      <c r="KJJ169" s="963"/>
      <c r="KJK169" s="2242"/>
      <c r="KJL169" s="1360"/>
      <c r="KJM169" s="955"/>
      <c r="KJN169" s="1361"/>
      <c r="KJO169" s="1360"/>
      <c r="KJP169" s="1925"/>
      <c r="KJQ169" s="955"/>
      <c r="KJR169" s="963"/>
      <c r="KJS169" s="2242"/>
      <c r="KJT169" s="1360"/>
      <c r="KJU169" s="955"/>
      <c r="KJV169" s="1361"/>
      <c r="KJW169" s="1360"/>
      <c r="KJX169" s="1925"/>
      <c r="KJY169" s="955"/>
      <c r="KJZ169" s="963"/>
      <c r="KKA169" s="2242"/>
      <c r="KKB169" s="1360"/>
      <c r="KKC169" s="955"/>
      <c r="KKD169" s="1361"/>
      <c r="KKE169" s="1360"/>
      <c r="KKF169" s="1925"/>
      <c r="KKG169" s="955"/>
      <c r="KKH169" s="963"/>
      <c r="KKI169" s="2242"/>
      <c r="KKJ169" s="1360"/>
      <c r="KKK169" s="955"/>
      <c r="KKL169" s="1361"/>
      <c r="KKM169" s="1360"/>
      <c r="KKN169" s="1925"/>
      <c r="KKO169" s="955"/>
      <c r="KKP169" s="963"/>
      <c r="KKQ169" s="2242"/>
      <c r="KKR169" s="1360"/>
      <c r="KKS169" s="955"/>
      <c r="KKT169" s="1361"/>
      <c r="KKU169" s="1360"/>
      <c r="KKV169" s="1925"/>
      <c r="KKW169" s="955"/>
      <c r="KKX169" s="963"/>
      <c r="KKY169" s="2242"/>
      <c r="KKZ169" s="1360"/>
      <c r="KLA169" s="955"/>
      <c r="KLB169" s="1361"/>
      <c r="KLC169" s="1360"/>
      <c r="KLD169" s="1925"/>
      <c r="KLE169" s="955"/>
      <c r="KLF169" s="963"/>
      <c r="KLG169" s="2242"/>
      <c r="KLH169" s="1360"/>
      <c r="KLI169" s="955"/>
      <c r="KLJ169" s="1361"/>
      <c r="KLK169" s="1360"/>
      <c r="KLL169" s="1925"/>
      <c r="KLM169" s="955"/>
      <c r="KLN169" s="963"/>
      <c r="KLO169" s="2242"/>
      <c r="KLP169" s="1360"/>
      <c r="KLQ169" s="955"/>
      <c r="KLR169" s="1361"/>
      <c r="KLS169" s="1360"/>
      <c r="KLT169" s="1925"/>
      <c r="KLU169" s="955"/>
      <c r="KLV169" s="963"/>
      <c r="KLW169" s="2242"/>
      <c r="KLX169" s="1360"/>
      <c r="KLY169" s="955"/>
      <c r="KLZ169" s="1361"/>
      <c r="KMA169" s="1360"/>
      <c r="KMB169" s="1925"/>
      <c r="KMC169" s="955"/>
      <c r="KMD169" s="963"/>
      <c r="KME169" s="2242"/>
      <c r="KMF169" s="1360"/>
      <c r="KMG169" s="955"/>
      <c r="KMH169" s="1361"/>
      <c r="KMI169" s="1360"/>
      <c r="KMJ169" s="1925"/>
      <c r="KMK169" s="955"/>
      <c r="KML169" s="963"/>
      <c r="KMM169" s="2242"/>
      <c r="KMN169" s="1360"/>
      <c r="KMO169" s="955"/>
      <c r="KMP169" s="1361"/>
      <c r="KMQ169" s="1360"/>
      <c r="KMR169" s="1925"/>
      <c r="KMS169" s="955"/>
      <c r="KMT169" s="963"/>
      <c r="KMU169" s="2242"/>
      <c r="KMV169" s="1360"/>
      <c r="KMW169" s="955"/>
      <c r="KMX169" s="1361"/>
      <c r="KMY169" s="1360"/>
      <c r="KMZ169" s="1925"/>
      <c r="KNA169" s="955"/>
      <c r="KNB169" s="963"/>
      <c r="KNC169" s="2242"/>
      <c r="KND169" s="1360"/>
      <c r="KNE169" s="955"/>
      <c r="KNF169" s="1361"/>
      <c r="KNG169" s="1360"/>
      <c r="KNH169" s="1925"/>
      <c r="KNI169" s="955"/>
      <c r="KNJ169" s="963"/>
      <c r="KNK169" s="2242"/>
      <c r="KNL169" s="1360"/>
      <c r="KNM169" s="955"/>
      <c r="KNN169" s="1361"/>
      <c r="KNO169" s="1360"/>
      <c r="KNP169" s="1925"/>
      <c r="KNQ169" s="955"/>
      <c r="KNR169" s="963"/>
      <c r="KNS169" s="2242"/>
      <c r="KNT169" s="1360"/>
      <c r="KNU169" s="955"/>
      <c r="KNV169" s="1361"/>
      <c r="KNW169" s="1360"/>
      <c r="KNX169" s="1925"/>
      <c r="KNY169" s="955"/>
      <c r="KNZ169" s="963"/>
      <c r="KOA169" s="2242"/>
      <c r="KOB169" s="1360"/>
      <c r="KOC169" s="955"/>
      <c r="KOD169" s="1361"/>
      <c r="KOE169" s="1360"/>
      <c r="KOF169" s="1925"/>
      <c r="KOG169" s="955"/>
      <c r="KOH169" s="963"/>
      <c r="KOI169" s="2242"/>
      <c r="KOJ169" s="1360"/>
      <c r="KOK169" s="955"/>
      <c r="KOL169" s="1361"/>
      <c r="KOM169" s="1360"/>
      <c r="KON169" s="1925"/>
      <c r="KOO169" s="955"/>
      <c r="KOP169" s="963"/>
      <c r="KOQ169" s="2242"/>
      <c r="KOR169" s="1360"/>
      <c r="KOS169" s="955"/>
      <c r="KOT169" s="1361"/>
      <c r="KOU169" s="1360"/>
      <c r="KOV169" s="1925"/>
      <c r="KOW169" s="955"/>
      <c r="KOX169" s="963"/>
      <c r="KOY169" s="2242"/>
      <c r="KOZ169" s="1360"/>
      <c r="KPA169" s="955"/>
      <c r="KPB169" s="1361"/>
      <c r="KPC169" s="1360"/>
      <c r="KPD169" s="1925"/>
      <c r="KPE169" s="955"/>
      <c r="KPF169" s="963"/>
      <c r="KPG169" s="2242"/>
      <c r="KPH169" s="1360"/>
      <c r="KPI169" s="955"/>
      <c r="KPJ169" s="1361"/>
      <c r="KPK169" s="1360"/>
      <c r="KPL169" s="1925"/>
      <c r="KPM169" s="955"/>
      <c r="KPN169" s="963"/>
      <c r="KPO169" s="2242"/>
      <c r="KPP169" s="1360"/>
      <c r="KPQ169" s="955"/>
      <c r="KPR169" s="1361"/>
      <c r="KPS169" s="1360"/>
      <c r="KPT169" s="1925"/>
      <c r="KPU169" s="955"/>
      <c r="KPV169" s="963"/>
      <c r="KPW169" s="2242"/>
      <c r="KPX169" s="1360"/>
      <c r="KPY169" s="955"/>
      <c r="KPZ169" s="1361"/>
      <c r="KQA169" s="1360"/>
      <c r="KQB169" s="1925"/>
      <c r="KQC169" s="955"/>
      <c r="KQD169" s="963"/>
      <c r="KQE169" s="2242"/>
      <c r="KQF169" s="1360"/>
      <c r="KQG169" s="955"/>
      <c r="KQH169" s="1361"/>
      <c r="KQI169" s="1360"/>
      <c r="KQJ169" s="1925"/>
      <c r="KQK169" s="955"/>
      <c r="KQL169" s="963"/>
      <c r="KQM169" s="2242"/>
      <c r="KQN169" s="1360"/>
      <c r="KQO169" s="955"/>
      <c r="KQP169" s="1361"/>
      <c r="KQQ169" s="1360"/>
      <c r="KQR169" s="1925"/>
      <c r="KQS169" s="955"/>
      <c r="KQT169" s="963"/>
      <c r="KQU169" s="2242"/>
      <c r="KQV169" s="1360"/>
      <c r="KQW169" s="955"/>
      <c r="KQX169" s="1361"/>
      <c r="KQY169" s="1360"/>
      <c r="KQZ169" s="1925"/>
      <c r="KRA169" s="955"/>
      <c r="KRB169" s="963"/>
      <c r="KRC169" s="2242"/>
      <c r="KRD169" s="1360"/>
      <c r="KRE169" s="955"/>
      <c r="KRF169" s="1361"/>
      <c r="KRG169" s="1360"/>
      <c r="KRH169" s="1925"/>
      <c r="KRI169" s="955"/>
      <c r="KRJ169" s="963"/>
      <c r="KRK169" s="2242"/>
      <c r="KRL169" s="1360"/>
      <c r="KRM169" s="955"/>
      <c r="KRN169" s="1361"/>
      <c r="KRO169" s="1360"/>
      <c r="KRP169" s="1925"/>
      <c r="KRQ169" s="955"/>
      <c r="KRR169" s="963"/>
      <c r="KRS169" s="2242"/>
      <c r="KRT169" s="1360"/>
      <c r="KRU169" s="955"/>
      <c r="KRV169" s="1361"/>
      <c r="KRW169" s="1360"/>
      <c r="KRX169" s="1925"/>
      <c r="KRY169" s="955"/>
      <c r="KRZ169" s="963"/>
      <c r="KSA169" s="2242"/>
      <c r="KSB169" s="1360"/>
      <c r="KSC169" s="955"/>
      <c r="KSD169" s="1361"/>
      <c r="KSE169" s="1360"/>
      <c r="KSF169" s="1925"/>
      <c r="KSG169" s="955"/>
      <c r="KSH169" s="963"/>
      <c r="KSI169" s="2242"/>
      <c r="KSJ169" s="1360"/>
      <c r="KSK169" s="955"/>
      <c r="KSL169" s="1361"/>
      <c r="KSM169" s="1360"/>
      <c r="KSN169" s="1925"/>
      <c r="KSO169" s="955"/>
      <c r="KSP169" s="963"/>
      <c r="KSQ169" s="2242"/>
      <c r="KSR169" s="1360"/>
      <c r="KSS169" s="955"/>
      <c r="KST169" s="1361"/>
      <c r="KSU169" s="1360"/>
      <c r="KSV169" s="1925"/>
      <c r="KSW169" s="955"/>
      <c r="KSX169" s="963"/>
      <c r="KSY169" s="2242"/>
      <c r="KSZ169" s="1360"/>
      <c r="KTA169" s="955"/>
      <c r="KTB169" s="1361"/>
      <c r="KTC169" s="1360"/>
      <c r="KTD169" s="1925"/>
      <c r="KTE169" s="955"/>
      <c r="KTF169" s="963"/>
      <c r="KTG169" s="2242"/>
      <c r="KTH169" s="1360"/>
      <c r="KTI169" s="955"/>
      <c r="KTJ169" s="1361"/>
      <c r="KTK169" s="1360"/>
      <c r="KTL169" s="1925"/>
      <c r="KTM169" s="955"/>
      <c r="KTN169" s="963"/>
      <c r="KTO169" s="2242"/>
      <c r="KTP169" s="1360"/>
      <c r="KTQ169" s="955"/>
      <c r="KTR169" s="1361"/>
      <c r="KTS169" s="1360"/>
      <c r="KTT169" s="1925"/>
      <c r="KTU169" s="955"/>
      <c r="KTV169" s="963"/>
      <c r="KTW169" s="2242"/>
      <c r="KTX169" s="1360"/>
      <c r="KTY169" s="955"/>
      <c r="KTZ169" s="1361"/>
      <c r="KUA169" s="1360"/>
      <c r="KUB169" s="1925"/>
      <c r="KUC169" s="955"/>
      <c r="KUD169" s="963"/>
      <c r="KUE169" s="2242"/>
      <c r="KUF169" s="1360"/>
      <c r="KUG169" s="955"/>
      <c r="KUH169" s="1361"/>
      <c r="KUI169" s="1360"/>
      <c r="KUJ169" s="1925"/>
      <c r="KUK169" s="955"/>
      <c r="KUL169" s="963"/>
      <c r="KUM169" s="2242"/>
      <c r="KUN169" s="1360"/>
      <c r="KUO169" s="955"/>
      <c r="KUP169" s="1361"/>
      <c r="KUQ169" s="1360"/>
      <c r="KUR169" s="1925"/>
      <c r="KUS169" s="955"/>
      <c r="KUT169" s="963"/>
      <c r="KUU169" s="2242"/>
      <c r="KUV169" s="1360"/>
      <c r="KUW169" s="955"/>
      <c r="KUX169" s="1361"/>
      <c r="KUY169" s="1360"/>
      <c r="KUZ169" s="1925"/>
      <c r="KVA169" s="955"/>
      <c r="KVB169" s="963"/>
      <c r="KVC169" s="2242"/>
      <c r="KVD169" s="1360"/>
      <c r="KVE169" s="955"/>
      <c r="KVF169" s="1361"/>
      <c r="KVG169" s="1360"/>
      <c r="KVH169" s="1925"/>
      <c r="KVI169" s="955"/>
      <c r="KVJ169" s="963"/>
      <c r="KVK169" s="2242"/>
      <c r="KVL169" s="1360"/>
      <c r="KVM169" s="955"/>
      <c r="KVN169" s="1361"/>
      <c r="KVO169" s="1360"/>
      <c r="KVP169" s="1925"/>
      <c r="KVQ169" s="955"/>
      <c r="KVR169" s="963"/>
      <c r="KVS169" s="2242"/>
      <c r="KVT169" s="1360"/>
      <c r="KVU169" s="955"/>
      <c r="KVV169" s="1361"/>
      <c r="KVW169" s="1360"/>
      <c r="KVX169" s="1925"/>
      <c r="KVY169" s="955"/>
      <c r="KVZ169" s="963"/>
      <c r="KWA169" s="2242"/>
      <c r="KWB169" s="1360"/>
      <c r="KWC169" s="955"/>
      <c r="KWD169" s="1361"/>
      <c r="KWE169" s="1360"/>
      <c r="KWF169" s="1925"/>
      <c r="KWG169" s="955"/>
      <c r="KWH169" s="963"/>
      <c r="KWI169" s="2242"/>
      <c r="KWJ169" s="1360"/>
      <c r="KWK169" s="955"/>
      <c r="KWL169" s="1361"/>
      <c r="KWM169" s="1360"/>
      <c r="KWN169" s="1925"/>
      <c r="KWO169" s="955"/>
      <c r="KWP169" s="963"/>
      <c r="KWQ169" s="2242"/>
      <c r="KWR169" s="1360"/>
      <c r="KWS169" s="955"/>
      <c r="KWT169" s="1361"/>
      <c r="KWU169" s="1360"/>
      <c r="KWV169" s="1925"/>
      <c r="KWW169" s="955"/>
      <c r="KWX169" s="963"/>
      <c r="KWY169" s="2242"/>
      <c r="KWZ169" s="1360"/>
      <c r="KXA169" s="955"/>
      <c r="KXB169" s="1361"/>
      <c r="KXC169" s="1360"/>
      <c r="KXD169" s="1925"/>
      <c r="KXE169" s="955"/>
      <c r="KXF169" s="963"/>
      <c r="KXG169" s="2242"/>
      <c r="KXH169" s="1360"/>
      <c r="KXI169" s="955"/>
      <c r="KXJ169" s="1361"/>
      <c r="KXK169" s="1360"/>
      <c r="KXL169" s="1925"/>
      <c r="KXM169" s="955"/>
      <c r="KXN169" s="963"/>
      <c r="KXO169" s="2242"/>
      <c r="KXP169" s="1360"/>
      <c r="KXQ169" s="955"/>
      <c r="KXR169" s="1361"/>
      <c r="KXS169" s="1360"/>
      <c r="KXT169" s="1925"/>
      <c r="KXU169" s="955"/>
      <c r="KXV169" s="963"/>
      <c r="KXW169" s="2242"/>
      <c r="KXX169" s="1360"/>
      <c r="KXY169" s="955"/>
      <c r="KXZ169" s="1361"/>
      <c r="KYA169" s="1360"/>
      <c r="KYB169" s="1925"/>
      <c r="KYC169" s="955"/>
      <c r="KYD169" s="963"/>
      <c r="KYE169" s="2242"/>
      <c r="KYF169" s="1360"/>
      <c r="KYG169" s="955"/>
      <c r="KYH169" s="1361"/>
      <c r="KYI169" s="1360"/>
      <c r="KYJ169" s="1925"/>
      <c r="KYK169" s="955"/>
      <c r="KYL169" s="963"/>
      <c r="KYM169" s="2242"/>
      <c r="KYN169" s="1360"/>
      <c r="KYO169" s="955"/>
      <c r="KYP169" s="1361"/>
      <c r="KYQ169" s="1360"/>
      <c r="KYR169" s="1925"/>
      <c r="KYS169" s="955"/>
      <c r="KYT169" s="963"/>
      <c r="KYU169" s="2242"/>
      <c r="KYV169" s="1360"/>
      <c r="KYW169" s="955"/>
      <c r="KYX169" s="1361"/>
      <c r="KYY169" s="1360"/>
      <c r="KYZ169" s="1925"/>
      <c r="KZA169" s="955"/>
      <c r="KZB169" s="963"/>
      <c r="KZC169" s="2242"/>
      <c r="KZD169" s="1360"/>
      <c r="KZE169" s="955"/>
      <c r="KZF169" s="1361"/>
      <c r="KZG169" s="1360"/>
      <c r="KZH169" s="1925"/>
      <c r="KZI169" s="955"/>
      <c r="KZJ169" s="963"/>
      <c r="KZK169" s="2242"/>
      <c r="KZL169" s="1360"/>
      <c r="KZM169" s="955"/>
      <c r="KZN169" s="1361"/>
      <c r="KZO169" s="1360"/>
      <c r="KZP169" s="1925"/>
      <c r="KZQ169" s="955"/>
      <c r="KZR169" s="963"/>
      <c r="KZS169" s="2242"/>
      <c r="KZT169" s="1360"/>
      <c r="KZU169" s="955"/>
      <c r="KZV169" s="1361"/>
      <c r="KZW169" s="1360"/>
      <c r="KZX169" s="1925"/>
      <c r="KZY169" s="955"/>
      <c r="KZZ169" s="963"/>
      <c r="LAA169" s="2242"/>
      <c r="LAB169" s="1360"/>
      <c r="LAC169" s="955"/>
      <c r="LAD169" s="1361"/>
      <c r="LAE169" s="1360"/>
      <c r="LAF169" s="1925"/>
      <c r="LAG169" s="955"/>
      <c r="LAH169" s="963"/>
      <c r="LAI169" s="2242"/>
      <c r="LAJ169" s="1360"/>
      <c r="LAK169" s="955"/>
      <c r="LAL169" s="1361"/>
      <c r="LAM169" s="1360"/>
      <c r="LAN169" s="1925"/>
      <c r="LAO169" s="955"/>
      <c r="LAP169" s="963"/>
      <c r="LAQ169" s="2242"/>
      <c r="LAR169" s="1360"/>
      <c r="LAS169" s="955"/>
      <c r="LAT169" s="1361"/>
      <c r="LAU169" s="1360"/>
      <c r="LAV169" s="1925"/>
      <c r="LAW169" s="955"/>
      <c r="LAX169" s="963"/>
      <c r="LAY169" s="2242"/>
      <c r="LAZ169" s="1360"/>
      <c r="LBA169" s="955"/>
      <c r="LBB169" s="1361"/>
      <c r="LBC169" s="1360"/>
      <c r="LBD169" s="1925"/>
      <c r="LBE169" s="955"/>
      <c r="LBF169" s="963"/>
      <c r="LBG169" s="2242"/>
      <c r="LBH169" s="1360"/>
      <c r="LBI169" s="955"/>
      <c r="LBJ169" s="1361"/>
      <c r="LBK169" s="1360"/>
      <c r="LBL169" s="1925"/>
      <c r="LBM169" s="955"/>
      <c r="LBN169" s="963"/>
      <c r="LBO169" s="2242"/>
      <c r="LBP169" s="1360"/>
      <c r="LBQ169" s="955"/>
      <c r="LBR169" s="1361"/>
      <c r="LBS169" s="1360"/>
      <c r="LBT169" s="1925"/>
      <c r="LBU169" s="955"/>
      <c r="LBV169" s="963"/>
      <c r="LBW169" s="2242"/>
      <c r="LBX169" s="1360"/>
      <c r="LBY169" s="955"/>
      <c r="LBZ169" s="1361"/>
      <c r="LCA169" s="1360"/>
      <c r="LCB169" s="1925"/>
      <c r="LCC169" s="955"/>
      <c r="LCD169" s="963"/>
      <c r="LCE169" s="2242"/>
      <c r="LCF169" s="1360"/>
      <c r="LCG169" s="955"/>
      <c r="LCH169" s="1361"/>
      <c r="LCI169" s="1360"/>
      <c r="LCJ169" s="1925"/>
      <c r="LCK169" s="955"/>
      <c r="LCL169" s="963"/>
      <c r="LCM169" s="2242"/>
      <c r="LCN169" s="1360"/>
      <c r="LCO169" s="955"/>
      <c r="LCP169" s="1361"/>
      <c r="LCQ169" s="1360"/>
      <c r="LCR169" s="1925"/>
      <c r="LCS169" s="955"/>
      <c r="LCT169" s="963"/>
      <c r="LCU169" s="2242"/>
      <c r="LCV169" s="1360"/>
      <c r="LCW169" s="955"/>
      <c r="LCX169" s="1361"/>
      <c r="LCY169" s="1360"/>
      <c r="LCZ169" s="1925"/>
      <c r="LDA169" s="955"/>
      <c r="LDB169" s="963"/>
      <c r="LDC169" s="2242"/>
      <c r="LDD169" s="1360"/>
      <c r="LDE169" s="955"/>
      <c r="LDF169" s="1361"/>
      <c r="LDG169" s="1360"/>
      <c r="LDH169" s="1925"/>
      <c r="LDI169" s="955"/>
      <c r="LDJ169" s="963"/>
      <c r="LDK169" s="2242"/>
      <c r="LDL169" s="1360"/>
      <c r="LDM169" s="955"/>
      <c r="LDN169" s="1361"/>
      <c r="LDO169" s="1360"/>
      <c r="LDP169" s="1925"/>
      <c r="LDQ169" s="955"/>
      <c r="LDR169" s="963"/>
      <c r="LDS169" s="2242"/>
      <c r="LDT169" s="1360"/>
      <c r="LDU169" s="955"/>
      <c r="LDV169" s="1361"/>
      <c r="LDW169" s="1360"/>
      <c r="LDX169" s="1925"/>
      <c r="LDY169" s="955"/>
      <c r="LDZ169" s="963"/>
      <c r="LEA169" s="2242"/>
      <c r="LEB169" s="1360"/>
      <c r="LEC169" s="955"/>
      <c r="LED169" s="1361"/>
      <c r="LEE169" s="1360"/>
      <c r="LEF169" s="1925"/>
      <c r="LEG169" s="955"/>
      <c r="LEH169" s="963"/>
      <c r="LEI169" s="2242"/>
      <c r="LEJ169" s="1360"/>
      <c r="LEK169" s="955"/>
      <c r="LEL169" s="1361"/>
      <c r="LEM169" s="1360"/>
      <c r="LEN169" s="1925"/>
      <c r="LEO169" s="955"/>
      <c r="LEP169" s="963"/>
      <c r="LEQ169" s="2242"/>
      <c r="LER169" s="1360"/>
      <c r="LES169" s="955"/>
      <c r="LET169" s="1361"/>
      <c r="LEU169" s="1360"/>
      <c r="LEV169" s="1925"/>
      <c r="LEW169" s="955"/>
      <c r="LEX169" s="963"/>
      <c r="LEY169" s="2242"/>
      <c r="LEZ169" s="1360"/>
      <c r="LFA169" s="955"/>
      <c r="LFB169" s="1361"/>
      <c r="LFC169" s="1360"/>
      <c r="LFD169" s="1925"/>
      <c r="LFE169" s="955"/>
      <c r="LFF169" s="963"/>
      <c r="LFG169" s="2242"/>
      <c r="LFH169" s="1360"/>
      <c r="LFI169" s="955"/>
      <c r="LFJ169" s="1361"/>
      <c r="LFK169" s="1360"/>
      <c r="LFL169" s="1925"/>
      <c r="LFM169" s="955"/>
      <c r="LFN169" s="963"/>
      <c r="LFO169" s="2242"/>
      <c r="LFP169" s="1360"/>
      <c r="LFQ169" s="955"/>
      <c r="LFR169" s="1361"/>
      <c r="LFS169" s="1360"/>
      <c r="LFT169" s="1925"/>
      <c r="LFU169" s="955"/>
      <c r="LFV169" s="963"/>
      <c r="LFW169" s="2242"/>
      <c r="LFX169" s="1360"/>
      <c r="LFY169" s="955"/>
      <c r="LFZ169" s="1361"/>
      <c r="LGA169" s="1360"/>
      <c r="LGB169" s="1925"/>
      <c r="LGC169" s="955"/>
      <c r="LGD169" s="963"/>
      <c r="LGE169" s="2242"/>
      <c r="LGF169" s="1360"/>
      <c r="LGG169" s="955"/>
      <c r="LGH169" s="1361"/>
      <c r="LGI169" s="1360"/>
      <c r="LGJ169" s="1925"/>
      <c r="LGK169" s="955"/>
      <c r="LGL169" s="963"/>
      <c r="LGM169" s="2242"/>
      <c r="LGN169" s="1360"/>
      <c r="LGO169" s="955"/>
      <c r="LGP169" s="1361"/>
      <c r="LGQ169" s="1360"/>
      <c r="LGR169" s="1925"/>
      <c r="LGS169" s="955"/>
      <c r="LGT169" s="963"/>
      <c r="LGU169" s="2242"/>
      <c r="LGV169" s="1360"/>
      <c r="LGW169" s="955"/>
      <c r="LGX169" s="1361"/>
      <c r="LGY169" s="1360"/>
      <c r="LGZ169" s="1925"/>
      <c r="LHA169" s="955"/>
      <c r="LHB169" s="963"/>
      <c r="LHC169" s="2242"/>
      <c r="LHD169" s="1360"/>
      <c r="LHE169" s="955"/>
      <c r="LHF169" s="1361"/>
      <c r="LHG169" s="1360"/>
      <c r="LHH169" s="1925"/>
      <c r="LHI169" s="955"/>
      <c r="LHJ169" s="963"/>
      <c r="LHK169" s="2242"/>
      <c r="LHL169" s="1360"/>
      <c r="LHM169" s="955"/>
      <c r="LHN169" s="1361"/>
      <c r="LHO169" s="1360"/>
      <c r="LHP169" s="1925"/>
      <c r="LHQ169" s="955"/>
      <c r="LHR169" s="963"/>
      <c r="LHS169" s="2242"/>
      <c r="LHT169" s="1360"/>
      <c r="LHU169" s="955"/>
      <c r="LHV169" s="1361"/>
      <c r="LHW169" s="1360"/>
      <c r="LHX169" s="1925"/>
      <c r="LHY169" s="955"/>
      <c r="LHZ169" s="963"/>
      <c r="LIA169" s="2242"/>
      <c r="LIB169" s="1360"/>
      <c r="LIC169" s="955"/>
      <c r="LID169" s="1361"/>
      <c r="LIE169" s="1360"/>
      <c r="LIF169" s="1925"/>
      <c r="LIG169" s="955"/>
      <c r="LIH169" s="963"/>
      <c r="LII169" s="2242"/>
      <c r="LIJ169" s="1360"/>
      <c r="LIK169" s="955"/>
      <c r="LIL169" s="1361"/>
      <c r="LIM169" s="1360"/>
      <c r="LIN169" s="1925"/>
      <c r="LIO169" s="955"/>
      <c r="LIP169" s="963"/>
      <c r="LIQ169" s="2242"/>
      <c r="LIR169" s="1360"/>
      <c r="LIS169" s="955"/>
      <c r="LIT169" s="1361"/>
      <c r="LIU169" s="1360"/>
      <c r="LIV169" s="1925"/>
      <c r="LIW169" s="955"/>
      <c r="LIX169" s="963"/>
      <c r="LIY169" s="2242"/>
      <c r="LIZ169" s="1360"/>
      <c r="LJA169" s="955"/>
      <c r="LJB169" s="1361"/>
      <c r="LJC169" s="1360"/>
      <c r="LJD169" s="1925"/>
      <c r="LJE169" s="955"/>
      <c r="LJF169" s="963"/>
      <c r="LJG169" s="2242"/>
      <c r="LJH169" s="1360"/>
      <c r="LJI169" s="955"/>
      <c r="LJJ169" s="1361"/>
      <c r="LJK169" s="1360"/>
      <c r="LJL169" s="1925"/>
      <c r="LJM169" s="955"/>
      <c r="LJN169" s="963"/>
      <c r="LJO169" s="2242"/>
      <c r="LJP169" s="1360"/>
      <c r="LJQ169" s="955"/>
      <c r="LJR169" s="1361"/>
      <c r="LJS169" s="1360"/>
      <c r="LJT169" s="1925"/>
      <c r="LJU169" s="955"/>
      <c r="LJV169" s="963"/>
      <c r="LJW169" s="2242"/>
      <c r="LJX169" s="1360"/>
      <c r="LJY169" s="955"/>
      <c r="LJZ169" s="1361"/>
      <c r="LKA169" s="1360"/>
      <c r="LKB169" s="1925"/>
      <c r="LKC169" s="955"/>
      <c r="LKD169" s="963"/>
      <c r="LKE169" s="2242"/>
      <c r="LKF169" s="1360"/>
      <c r="LKG169" s="955"/>
      <c r="LKH169" s="1361"/>
      <c r="LKI169" s="1360"/>
      <c r="LKJ169" s="1925"/>
      <c r="LKK169" s="955"/>
      <c r="LKL169" s="963"/>
      <c r="LKM169" s="2242"/>
      <c r="LKN169" s="1360"/>
      <c r="LKO169" s="955"/>
      <c r="LKP169" s="1361"/>
      <c r="LKQ169" s="1360"/>
      <c r="LKR169" s="1925"/>
      <c r="LKS169" s="955"/>
      <c r="LKT169" s="963"/>
      <c r="LKU169" s="2242"/>
      <c r="LKV169" s="1360"/>
      <c r="LKW169" s="955"/>
      <c r="LKX169" s="1361"/>
      <c r="LKY169" s="1360"/>
      <c r="LKZ169" s="1925"/>
      <c r="LLA169" s="955"/>
      <c r="LLB169" s="963"/>
      <c r="LLC169" s="2242"/>
      <c r="LLD169" s="1360"/>
      <c r="LLE169" s="955"/>
      <c r="LLF169" s="1361"/>
      <c r="LLG169" s="1360"/>
      <c r="LLH169" s="1925"/>
      <c r="LLI169" s="955"/>
      <c r="LLJ169" s="963"/>
      <c r="LLK169" s="2242"/>
      <c r="LLL169" s="1360"/>
      <c r="LLM169" s="955"/>
      <c r="LLN169" s="1361"/>
      <c r="LLO169" s="1360"/>
      <c r="LLP169" s="1925"/>
      <c r="LLQ169" s="955"/>
      <c r="LLR169" s="963"/>
      <c r="LLS169" s="2242"/>
      <c r="LLT169" s="1360"/>
      <c r="LLU169" s="955"/>
      <c r="LLV169" s="1361"/>
      <c r="LLW169" s="1360"/>
      <c r="LLX169" s="1925"/>
      <c r="LLY169" s="955"/>
      <c r="LLZ169" s="963"/>
      <c r="LMA169" s="2242"/>
      <c r="LMB169" s="1360"/>
      <c r="LMC169" s="955"/>
      <c r="LMD169" s="1361"/>
      <c r="LME169" s="1360"/>
      <c r="LMF169" s="1925"/>
      <c r="LMG169" s="955"/>
      <c r="LMH169" s="963"/>
      <c r="LMI169" s="2242"/>
      <c r="LMJ169" s="1360"/>
      <c r="LMK169" s="955"/>
      <c r="LML169" s="1361"/>
      <c r="LMM169" s="1360"/>
      <c r="LMN169" s="1925"/>
      <c r="LMO169" s="955"/>
      <c r="LMP169" s="963"/>
      <c r="LMQ169" s="2242"/>
      <c r="LMR169" s="1360"/>
      <c r="LMS169" s="955"/>
      <c r="LMT169" s="1361"/>
      <c r="LMU169" s="1360"/>
      <c r="LMV169" s="1925"/>
      <c r="LMW169" s="955"/>
      <c r="LMX169" s="963"/>
      <c r="LMY169" s="2242"/>
      <c r="LMZ169" s="1360"/>
      <c r="LNA169" s="955"/>
      <c r="LNB169" s="1361"/>
      <c r="LNC169" s="1360"/>
      <c r="LND169" s="1925"/>
      <c r="LNE169" s="955"/>
      <c r="LNF169" s="963"/>
      <c r="LNG169" s="2242"/>
      <c r="LNH169" s="1360"/>
      <c r="LNI169" s="955"/>
      <c r="LNJ169" s="1361"/>
      <c r="LNK169" s="1360"/>
      <c r="LNL169" s="1925"/>
      <c r="LNM169" s="955"/>
      <c r="LNN169" s="963"/>
      <c r="LNO169" s="2242"/>
      <c r="LNP169" s="1360"/>
      <c r="LNQ169" s="955"/>
      <c r="LNR169" s="1361"/>
      <c r="LNS169" s="1360"/>
      <c r="LNT169" s="1925"/>
      <c r="LNU169" s="955"/>
      <c r="LNV169" s="963"/>
      <c r="LNW169" s="2242"/>
      <c r="LNX169" s="1360"/>
      <c r="LNY169" s="955"/>
      <c r="LNZ169" s="1361"/>
      <c r="LOA169" s="1360"/>
      <c r="LOB169" s="1925"/>
      <c r="LOC169" s="955"/>
      <c r="LOD169" s="963"/>
      <c r="LOE169" s="2242"/>
      <c r="LOF169" s="1360"/>
      <c r="LOG169" s="955"/>
      <c r="LOH169" s="1361"/>
      <c r="LOI169" s="1360"/>
      <c r="LOJ169" s="1925"/>
      <c r="LOK169" s="955"/>
      <c r="LOL169" s="963"/>
      <c r="LOM169" s="2242"/>
      <c r="LON169" s="1360"/>
      <c r="LOO169" s="955"/>
      <c r="LOP169" s="1361"/>
      <c r="LOQ169" s="1360"/>
      <c r="LOR169" s="1925"/>
      <c r="LOS169" s="955"/>
      <c r="LOT169" s="963"/>
      <c r="LOU169" s="2242"/>
      <c r="LOV169" s="1360"/>
      <c r="LOW169" s="955"/>
      <c r="LOX169" s="1361"/>
      <c r="LOY169" s="1360"/>
      <c r="LOZ169" s="1925"/>
      <c r="LPA169" s="955"/>
      <c r="LPB169" s="963"/>
      <c r="LPC169" s="2242"/>
      <c r="LPD169" s="1360"/>
      <c r="LPE169" s="955"/>
      <c r="LPF169" s="1361"/>
      <c r="LPG169" s="1360"/>
      <c r="LPH169" s="1925"/>
      <c r="LPI169" s="955"/>
      <c r="LPJ169" s="963"/>
      <c r="LPK169" s="2242"/>
      <c r="LPL169" s="1360"/>
      <c r="LPM169" s="955"/>
      <c r="LPN169" s="1361"/>
      <c r="LPO169" s="1360"/>
      <c r="LPP169" s="1925"/>
      <c r="LPQ169" s="955"/>
      <c r="LPR169" s="963"/>
      <c r="LPS169" s="2242"/>
      <c r="LPT169" s="1360"/>
      <c r="LPU169" s="955"/>
      <c r="LPV169" s="1361"/>
      <c r="LPW169" s="1360"/>
      <c r="LPX169" s="1925"/>
      <c r="LPY169" s="955"/>
      <c r="LPZ169" s="963"/>
      <c r="LQA169" s="2242"/>
      <c r="LQB169" s="1360"/>
      <c r="LQC169" s="955"/>
      <c r="LQD169" s="1361"/>
      <c r="LQE169" s="1360"/>
      <c r="LQF169" s="1925"/>
      <c r="LQG169" s="955"/>
      <c r="LQH169" s="963"/>
      <c r="LQI169" s="2242"/>
      <c r="LQJ169" s="1360"/>
      <c r="LQK169" s="955"/>
      <c r="LQL169" s="1361"/>
      <c r="LQM169" s="1360"/>
      <c r="LQN169" s="1925"/>
      <c r="LQO169" s="955"/>
      <c r="LQP169" s="963"/>
      <c r="LQQ169" s="2242"/>
      <c r="LQR169" s="1360"/>
      <c r="LQS169" s="955"/>
      <c r="LQT169" s="1361"/>
      <c r="LQU169" s="1360"/>
      <c r="LQV169" s="1925"/>
      <c r="LQW169" s="955"/>
      <c r="LQX169" s="963"/>
      <c r="LQY169" s="2242"/>
      <c r="LQZ169" s="1360"/>
      <c r="LRA169" s="955"/>
      <c r="LRB169" s="1361"/>
      <c r="LRC169" s="1360"/>
      <c r="LRD169" s="1925"/>
      <c r="LRE169" s="955"/>
      <c r="LRF169" s="963"/>
      <c r="LRG169" s="2242"/>
      <c r="LRH169" s="1360"/>
      <c r="LRI169" s="955"/>
      <c r="LRJ169" s="1361"/>
      <c r="LRK169" s="1360"/>
      <c r="LRL169" s="1925"/>
      <c r="LRM169" s="955"/>
      <c r="LRN169" s="963"/>
      <c r="LRO169" s="2242"/>
      <c r="LRP169" s="1360"/>
      <c r="LRQ169" s="955"/>
      <c r="LRR169" s="1361"/>
      <c r="LRS169" s="1360"/>
      <c r="LRT169" s="1925"/>
      <c r="LRU169" s="955"/>
      <c r="LRV169" s="963"/>
      <c r="LRW169" s="2242"/>
      <c r="LRX169" s="1360"/>
      <c r="LRY169" s="955"/>
      <c r="LRZ169" s="1361"/>
      <c r="LSA169" s="1360"/>
      <c r="LSB169" s="1925"/>
      <c r="LSC169" s="955"/>
      <c r="LSD169" s="963"/>
      <c r="LSE169" s="2242"/>
      <c r="LSF169" s="1360"/>
      <c r="LSG169" s="955"/>
      <c r="LSH169" s="1361"/>
      <c r="LSI169" s="1360"/>
      <c r="LSJ169" s="1925"/>
      <c r="LSK169" s="955"/>
      <c r="LSL169" s="963"/>
      <c r="LSM169" s="2242"/>
      <c r="LSN169" s="1360"/>
      <c r="LSO169" s="955"/>
      <c r="LSP169" s="1361"/>
      <c r="LSQ169" s="1360"/>
      <c r="LSR169" s="1925"/>
      <c r="LSS169" s="955"/>
      <c r="LST169" s="963"/>
      <c r="LSU169" s="2242"/>
      <c r="LSV169" s="1360"/>
      <c r="LSW169" s="955"/>
      <c r="LSX169" s="1361"/>
      <c r="LSY169" s="1360"/>
      <c r="LSZ169" s="1925"/>
      <c r="LTA169" s="955"/>
      <c r="LTB169" s="963"/>
      <c r="LTC169" s="2242"/>
      <c r="LTD169" s="1360"/>
      <c r="LTE169" s="955"/>
      <c r="LTF169" s="1361"/>
      <c r="LTG169" s="1360"/>
      <c r="LTH169" s="1925"/>
      <c r="LTI169" s="955"/>
      <c r="LTJ169" s="963"/>
      <c r="LTK169" s="2242"/>
      <c r="LTL169" s="1360"/>
      <c r="LTM169" s="955"/>
      <c r="LTN169" s="1361"/>
      <c r="LTO169" s="1360"/>
      <c r="LTP169" s="1925"/>
      <c r="LTQ169" s="955"/>
      <c r="LTR169" s="963"/>
      <c r="LTS169" s="2242"/>
      <c r="LTT169" s="1360"/>
      <c r="LTU169" s="955"/>
      <c r="LTV169" s="1361"/>
      <c r="LTW169" s="1360"/>
      <c r="LTX169" s="1925"/>
      <c r="LTY169" s="955"/>
      <c r="LTZ169" s="963"/>
      <c r="LUA169" s="2242"/>
      <c r="LUB169" s="1360"/>
      <c r="LUC169" s="955"/>
      <c r="LUD169" s="1361"/>
      <c r="LUE169" s="1360"/>
      <c r="LUF169" s="1925"/>
      <c r="LUG169" s="955"/>
      <c r="LUH169" s="963"/>
      <c r="LUI169" s="2242"/>
      <c r="LUJ169" s="1360"/>
      <c r="LUK169" s="955"/>
      <c r="LUL169" s="1361"/>
      <c r="LUM169" s="1360"/>
      <c r="LUN169" s="1925"/>
      <c r="LUO169" s="955"/>
      <c r="LUP169" s="963"/>
      <c r="LUQ169" s="2242"/>
      <c r="LUR169" s="1360"/>
      <c r="LUS169" s="955"/>
      <c r="LUT169" s="1361"/>
      <c r="LUU169" s="1360"/>
      <c r="LUV169" s="1925"/>
      <c r="LUW169" s="955"/>
      <c r="LUX169" s="963"/>
      <c r="LUY169" s="2242"/>
      <c r="LUZ169" s="1360"/>
      <c r="LVA169" s="955"/>
      <c r="LVB169" s="1361"/>
      <c r="LVC169" s="1360"/>
      <c r="LVD169" s="1925"/>
      <c r="LVE169" s="955"/>
      <c r="LVF169" s="963"/>
      <c r="LVG169" s="2242"/>
      <c r="LVH169" s="1360"/>
      <c r="LVI169" s="955"/>
      <c r="LVJ169" s="1361"/>
      <c r="LVK169" s="1360"/>
      <c r="LVL169" s="1925"/>
      <c r="LVM169" s="955"/>
      <c r="LVN169" s="963"/>
      <c r="LVO169" s="2242"/>
      <c r="LVP169" s="1360"/>
      <c r="LVQ169" s="955"/>
      <c r="LVR169" s="1361"/>
      <c r="LVS169" s="1360"/>
      <c r="LVT169" s="1925"/>
      <c r="LVU169" s="955"/>
      <c r="LVV169" s="963"/>
      <c r="LVW169" s="2242"/>
      <c r="LVX169" s="1360"/>
      <c r="LVY169" s="955"/>
      <c r="LVZ169" s="1361"/>
      <c r="LWA169" s="1360"/>
      <c r="LWB169" s="1925"/>
      <c r="LWC169" s="955"/>
      <c r="LWD169" s="963"/>
      <c r="LWE169" s="2242"/>
      <c r="LWF169" s="1360"/>
      <c r="LWG169" s="955"/>
      <c r="LWH169" s="1361"/>
      <c r="LWI169" s="1360"/>
      <c r="LWJ169" s="1925"/>
      <c r="LWK169" s="955"/>
      <c r="LWL169" s="963"/>
      <c r="LWM169" s="2242"/>
      <c r="LWN169" s="1360"/>
      <c r="LWO169" s="955"/>
      <c r="LWP169" s="1361"/>
      <c r="LWQ169" s="1360"/>
      <c r="LWR169" s="1925"/>
      <c r="LWS169" s="955"/>
      <c r="LWT169" s="963"/>
      <c r="LWU169" s="2242"/>
      <c r="LWV169" s="1360"/>
      <c r="LWW169" s="955"/>
      <c r="LWX169" s="1361"/>
      <c r="LWY169" s="1360"/>
      <c r="LWZ169" s="1925"/>
      <c r="LXA169" s="955"/>
      <c r="LXB169" s="963"/>
      <c r="LXC169" s="2242"/>
      <c r="LXD169" s="1360"/>
      <c r="LXE169" s="955"/>
      <c r="LXF169" s="1361"/>
      <c r="LXG169" s="1360"/>
      <c r="LXH169" s="1925"/>
      <c r="LXI169" s="955"/>
      <c r="LXJ169" s="963"/>
      <c r="LXK169" s="2242"/>
      <c r="LXL169" s="1360"/>
      <c r="LXM169" s="955"/>
      <c r="LXN169" s="1361"/>
      <c r="LXO169" s="1360"/>
      <c r="LXP169" s="1925"/>
      <c r="LXQ169" s="955"/>
      <c r="LXR169" s="963"/>
      <c r="LXS169" s="2242"/>
      <c r="LXT169" s="1360"/>
      <c r="LXU169" s="955"/>
      <c r="LXV169" s="1361"/>
      <c r="LXW169" s="1360"/>
      <c r="LXX169" s="1925"/>
      <c r="LXY169" s="955"/>
      <c r="LXZ169" s="963"/>
      <c r="LYA169" s="2242"/>
      <c r="LYB169" s="1360"/>
      <c r="LYC169" s="955"/>
      <c r="LYD169" s="1361"/>
      <c r="LYE169" s="1360"/>
      <c r="LYF169" s="1925"/>
      <c r="LYG169" s="955"/>
      <c r="LYH169" s="963"/>
      <c r="LYI169" s="2242"/>
      <c r="LYJ169" s="1360"/>
      <c r="LYK169" s="955"/>
      <c r="LYL169" s="1361"/>
      <c r="LYM169" s="1360"/>
      <c r="LYN169" s="1925"/>
      <c r="LYO169" s="955"/>
      <c r="LYP169" s="963"/>
      <c r="LYQ169" s="2242"/>
      <c r="LYR169" s="1360"/>
      <c r="LYS169" s="955"/>
      <c r="LYT169" s="1361"/>
      <c r="LYU169" s="1360"/>
      <c r="LYV169" s="1925"/>
      <c r="LYW169" s="955"/>
      <c r="LYX169" s="963"/>
      <c r="LYY169" s="2242"/>
      <c r="LYZ169" s="1360"/>
      <c r="LZA169" s="955"/>
      <c r="LZB169" s="1361"/>
      <c r="LZC169" s="1360"/>
      <c r="LZD169" s="1925"/>
      <c r="LZE169" s="955"/>
      <c r="LZF169" s="963"/>
      <c r="LZG169" s="2242"/>
      <c r="LZH169" s="1360"/>
      <c r="LZI169" s="955"/>
      <c r="LZJ169" s="1361"/>
      <c r="LZK169" s="1360"/>
      <c r="LZL169" s="1925"/>
      <c r="LZM169" s="955"/>
      <c r="LZN169" s="963"/>
      <c r="LZO169" s="2242"/>
      <c r="LZP169" s="1360"/>
      <c r="LZQ169" s="955"/>
      <c r="LZR169" s="1361"/>
      <c r="LZS169" s="1360"/>
      <c r="LZT169" s="1925"/>
      <c r="LZU169" s="955"/>
      <c r="LZV169" s="963"/>
      <c r="LZW169" s="2242"/>
      <c r="LZX169" s="1360"/>
      <c r="LZY169" s="955"/>
      <c r="LZZ169" s="1361"/>
      <c r="MAA169" s="1360"/>
      <c r="MAB169" s="1925"/>
      <c r="MAC169" s="955"/>
      <c r="MAD169" s="963"/>
      <c r="MAE169" s="2242"/>
      <c r="MAF169" s="1360"/>
      <c r="MAG169" s="955"/>
      <c r="MAH169" s="1361"/>
      <c r="MAI169" s="1360"/>
      <c r="MAJ169" s="1925"/>
      <c r="MAK169" s="955"/>
      <c r="MAL169" s="963"/>
      <c r="MAM169" s="2242"/>
      <c r="MAN169" s="1360"/>
      <c r="MAO169" s="955"/>
      <c r="MAP169" s="1361"/>
      <c r="MAQ169" s="1360"/>
      <c r="MAR169" s="1925"/>
      <c r="MAS169" s="955"/>
      <c r="MAT169" s="963"/>
      <c r="MAU169" s="2242"/>
      <c r="MAV169" s="1360"/>
      <c r="MAW169" s="955"/>
      <c r="MAX169" s="1361"/>
      <c r="MAY169" s="1360"/>
      <c r="MAZ169" s="1925"/>
      <c r="MBA169" s="955"/>
      <c r="MBB169" s="963"/>
      <c r="MBC169" s="2242"/>
      <c r="MBD169" s="1360"/>
      <c r="MBE169" s="955"/>
      <c r="MBF169" s="1361"/>
      <c r="MBG169" s="1360"/>
      <c r="MBH169" s="1925"/>
      <c r="MBI169" s="955"/>
      <c r="MBJ169" s="963"/>
      <c r="MBK169" s="2242"/>
      <c r="MBL169" s="1360"/>
      <c r="MBM169" s="955"/>
      <c r="MBN169" s="1361"/>
      <c r="MBO169" s="1360"/>
      <c r="MBP169" s="1925"/>
      <c r="MBQ169" s="955"/>
      <c r="MBR169" s="963"/>
      <c r="MBS169" s="2242"/>
      <c r="MBT169" s="1360"/>
      <c r="MBU169" s="955"/>
      <c r="MBV169" s="1361"/>
      <c r="MBW169" s="1360"/>
      <c r="MBX169" s="1925"/>
      <c r="MBY169" s="955"/>
      <c r="MBZ169" s="963"/>
      <c r="MCA169" s="2242"/>
      <c r="MCB169" s="1360"/>
      <c r="MCC169" s="955"/>
      <c r="MCD169" s="1361"/>
      <c r="MCE169" s="1360"/>
      <c r="MCF169" s="1925"/>
      <c r="MCG169" s="955"/>
      <c r="MCH169" s="963"/>
      <c r="MCI169" s="2242"/>
      <c r="MCJ169" s="1360"/>
      <c r="MCK169" s="955"/>
      <c r="MCL169" s="1361"/>
      <c r="MCM169" s="1360"/>
      <c r="MCN169" s="1925"/>
      <c r="MCO169" s="955"/>
      <c r="MCP169" s="963"/>
      <c r="MCQ169" s="2242"/>
      <c r="MCR169" s="1360"/>
      <c r="MCS169" s="955"/>
      <c r="MCT169" s="1361"/>
      <c r="MCU169" s="1360"/>
      <c r="MCV169" s="1925"/>
      <c r="MCW169" s="955"/>
      <c r="MCX169" s="963"/>
      <c r="MCY169" s="2242"/>
      <c r="MCZ169" s="1360"/>
      <c r="MDA169" s="955"/>
      <c r="MDB169" s="1361"/>
      <c r="MDC169" s="1360"/>
      <c r="MDD169" s="1925"/>
      <c r="MDE169" s="955"/>
      <c r="MDF169" s="963"/>
      <c r="MDG169" s="2242"/>
      <c r="MDH169" s="1360"/>
      <c r="MDI169" s="955"/>
      <c r="MDJ169" s="1361"/>
      <c r="MDK169" s="1360"/>
      <c r="MDL169" s="1925"/>
      <c r="MDM169" s="955"/>
      <c r="MDN169" s="963"/>
      <c r="MDO169" s="2242"/>
      <c r="MDP169" s="1360"/>
      <c r="MDQ169" s="955"/>
      <c r="MDR169" s="1361"/>
      <c r="MDS169" s="1360"/>
      <c r="MDT169" s="1925"/>
      <c r="MDU169" s="955"/>
      <c r="MDV169" s="963"/>
      <c r="MDW169" s="2242"/>
      <c r="MDX169" s="1360"/>
      <c r="MDY169" s="955"/>
      <c r="MDZ169" s="1361"/>
      <c r="MEA169" s="1360"/>
      <c r="MEB169" s="1925"/>
      <c r="MEC169" s="955"/>
      <c r="MED169" s="963"/>
      <c r="MEE169" s="2242"/>
      <c r="MEF169" s="1360"/>
      <c r="MEG169" s="955"/>
      <c r="MEH169" s="1361"/>
      <c r="MEI169" s="1360"/>
      <c r="MEJ169" s="1925"/>
      <c r="MEK169" s="955"/>
      <c r="MEL169" s="963"/>
      <c r="MEM169" s="2242"/>
      <c r="MEN169" s="1360"/>
      <c r="MEO169" s="955"/>
      <c r="MEP169" s="1361"/>
      <c r="MEQ169" s="1360"/>
      <c r="MER169" s="1925"/>
      <c r="MES169" s="955"/>
      <c r="MET169" s="963"/>
      <c r="MEU169" s="2242"/>
      <c r="MEV169" s="1360"/>
      <c r="MEW169" s="955"/>
      <c r="MEX169" s="1361"/>
      <c r="MEY169" s="1360"/>
      <c r="MEZ169" s="1925"/>
      <c r="MFA169" s="955"/>
      <c r="MFB169" s="963"/>
      <c r="MFC169" s="2242"/>
      <c r="MFD169" s="1360"/>
      <c r="MFE169" s="955"/>
      <c r="MFF169" s="1361"/>
      <c r="MFG169" s="1360"/>
      <c r="MFH169" s="1925"/>
      <c r="MFI169" s="955"/>
      <c r="MFJ169" s="963"/>
      <c r="MFK169" s="2242"/>
      <c r="MFL169" s="1360"/>
      <c r="MFM169" s="955"/>
      <c r="MFN169" s="1361"/>
      <c r="MFO169" s="1360"/>
      <c r="MFP169" s="1925"/>
      <c r="MFQ169" s="955"/>
      <c r="MFR169" s="963"/>
      <c r="MFS169" s="2242"/>
      <c r="MFT169" s="1360"/>
      <c r="MFU169" s="955"/>
      <c r="MFV169" s="1361"/>
      <c r="MFW169" s="1360"/>
      <c r="MFX169" s="1925"/>
      <c r="MFY169" s="955"/>
      <c r="MFZ169" s="963"/>
      <c r="MGA169" s="2242"/>
      <c r="MGB169" s="1360"/>
      <c r="MGC169" s="955"/>
      <c r="MGD169" s="1361"/>
      <c r="MGE169" s="1360"/>
      <c r="MGF169" s="1925"/>
      <c r="MGG169" s="955"/>
      <c r="MGH169" s="963"/>
      <c r="MGI169" s="2242"/>
      <c r="MGJ169" s="1360"/>
      <c r="MGK169" s="955"/>
      <c r="MGL169" s="1361"/>
      <c r="MGM169" s="1360"/>
      <c r="MGN169" s="1925"/>
      <c r="MGO169" s="955"/>
      <c r="MGP169" s="963"/>
      <c r="MGQ169" s="2242"/>
      <c r="MGR169" s="1360"/>
      <c r="MGS169" s="955"/>
      <c r="MGT169" s="1361"/>
      <c r="MGU169" s="1360"/>
      <c r="MGV169" s="1925"/>
      <c r="MGW169" s="955"/>
      <c r="MGX169" s="963"/>
      <c r="MGY169" s="2242"/>
      <c r="MGZ169" s="1360"/>
      <c r="MHA169" s="955"/>
      <c r="MHB169" s="1361"/>
      <c r="MHC169" s="1360"/>
      <c r="MHD169" s="1925"/>
      <c r="MHE169" s="955"/>
      <c r="MHF169" s="963"/>
      <c r="MHG169" s="2242"/>
      <c r="MHH169" s="1360"/>
      <c r="MHI169" s="955"/>
      <c r="MHJ169" s="1361"/>
      <c r="MHK169" s="1360"/>
      <c r="MHL169" s="1925"/>
      <c r="MHM169" s="955"/>
      <c r="MHN169" s="963"/>
      <c r="MHO169" s="2242"/>
      <c r="MHP169" s="1360"/>
      <c r="MHQ169" s="955"/>
      <c r="MHR169" s="1361"/>
      <c r="MHS169" s="1360"/>
      <c r="MHT169" s="1925"/>
      <c r="MHU169" s="955"/>
      <c r="MHV169" s="963"/>
      <c r="MHW169" s="2242"/>
      <c r="MHX169" s="1360"/>
      <c r="MHY169" s="955"/>
      <c r="MHZ169" s="1361"/>
      <c r="MIA169" s="1360"/>
      <c r="MIB169" s="1925"/>
      <c r="MIC169" s="955"/>
      <c r="MID169" s="963"/>
      <c r="MIE169" s="2242"/>
      <c r="MIF169" s="1360"/>
      <c r="MIG169" s="955"/>
      <c r="MIH169" s="1361"/>
      <c r="MII169" s="1360"/>
      <c r="MIJ169" s="1925"/>
      <c r="MIK169" s="955"/>
      <c r="MIL169" s="963"/>
      <c r="MIM169" s="2242"/>
      <c r="MIN169" s="1360"/>
      <c r="MIO169" s="955"/>
      <c r="MIP169" s="1361"/>
      <c r="MIQ169" s="1360"/>
      <c r="MIR169" s="1925"/>
      <c r="MIS169" s="955"/>
      <c r="MIT169" s="963"/>
      <c r="MIU169" s="2242"/>
      <c r="MIV169" s="1360"/>
      <c r="MIW169" s="955"/>
      <c r="MIX169" s="1361"/>
      <c r="MIY169" s="1360"/>
      <c r="MIZ169" s="1925"/>
      <c r="MJA169" s="955"/>
      <c r="MJB169" s="963"/>
      <c r="MJC169" s="2242"/>
      <c r="MJD169" s="1360"/>
      <c r="MJE169" s="955"/>
      <c r="MJF169" s="1361"/>
      <c r="MJG169" s="1360"/>
      <c r="MJH169" s="1925"/>
      <c r="MJI169" s="955"/>
      <c r="MJJ169" s="963"/>
      <c r="MJK169" s="2242"/>
      <c r="MJL169" s="1360"/>
      <c r="MJM169" s="955"/>
      <c r="MJN169" s="1361"/>
      <c r="MJO169" s="1360"/>
      <c r="MJP169" s="1925"/>
      <c r="MJQ169" s="955"/>
      <c r="MJR169" s="963"/>
      <c r="MJS169" s="2242"/>
      <c r="MJT169" s="1360"/>
      <c r="MJU169" s="955"/>
      <c r="MJV169" s="1361"/>
      <c r="MJW169" s="1360"/>
      <c r="MJX169" s="1925"/>
      <c r="MJY169" s="955"/>
      <c r="MJZ169" s="963"/>
      <c r="MKA169" s="2242"/>
      <c r="MKB169" s="1360"/>
      <c r="MKC169" s="955"/>
      <c r="MKD169" s="1361"/>
      <c r="MKE169" s="1360"/>
      <c r="MKF169" s="1925"/>
      <c r="MKG169" s="955"/>
      <c r="MKH169" s="963"/>
      <c r="MKI169" s="2242"/>
      <c r="MKJ169" s="1360"/>
      <c r="MKK169" s="955"/>
      <c r="MKL169" s="1361"/>
      <c r="MKM169" s="1360"/>
      <c r="MKN169" s="1925"/>
      <c r="MKO169" s="955"/>
      <c r="MKP169" s="963"/>
      <c r="MKQ169" s="2242"/>
      <c r="MKR169" s="1360"/>
      <c r="MKS169" s="955"/>
      <c r="MKT169" s="1361"/>
      <c r="MKU169" s="1360"/>
      <c r="MKV169" s="1925"/>
      <c r="MKW169" s="955"/>
      <c r="MKX169" s="963"/>
      <c r="MKY169" s="2242"/>
      <c r="MKZ169" s="1360"/>
      <c r="MLA169" s="955"/>
      <c r="MLB169" s="1361"/>
      <c r="MLC169" s="1360"/>
      <c r="MLD169" s="1925"/>
      <c r="MLE169" s="955"/>
      <c r="MLF169" s="963"/>
      <c r="MLG169" s="2242"/>
      <c r="MLH169" s="1360"/>
      <c r="MLI169" s="955"/>
      <c r="MLJ169" s="1361"/>
      <c r="MLK169" s="1360"/>
      <c r="MLL169" s="1925"/>
      <c r="MLM169" s="955"/>
      <c r="MLN169" s="963"/>
      <c r="MLO169" s="2242"/>
      <c r="MLP169" s="1360"/>
      <c r="MLQ169" s="955"/>
      <c r="MLR169" s="1361"/>
      <c r="MLS169" s="1360"/>
      <c r="MLT169" s="1925"/>
      <c r="MLU169" s="955"/>
      <c r="MLV169" s="963"/>
      <c r="MLW169" s="2242"/>
      <c r="MLX169" s="1360"/>
      <c r="MLY169" s="955"/>
      <c r="MLZ169" s="1361"/>
      <c r="MMA169" s="1360"/>
      <c r="MMB169" s="1925"/>
      <c r="MMC169" s="955"/>
      <c r="MMD169" s="963"/>
      <c r="MME169" s="2242"/>
      <c r="MMF169" s="1360"/>
      <c r="MMG169" s="955"/>
      <c r="MMH169" s="1361"/>
      <c r="MMI169" s="1360"/>
      <c r="MMJ169" s="1925"/>
      <c r="MMK169" s="955"/>
      <c r="MML169" s="963"/>
      <c r="MMM169" s="2242"/>
      <c r="MMN169" s="1360"/>
      <c r="MMO169" s="955"/>
      <c r="MMP169" s="1361"/>
      <c r="MMQ169" s="1360"/>
      <c r="MMR169" s="1925"/>
      <c r="MMS169" s="955"/>
      <c r="MMT169" s="963"/>
      <c r="MMU169" s="2242"/>
      <c r="MMV169" s="1360"/>
      <c r="MMW169" s="955"/>
      <c r="MMX169" s="1361"/>
      <c r="MMY169" s="1360"/>
      <c r="MMZ169" s="1925"/>
      <c r="MNA169" s="955"/>
      <c r="MNB169" s="963"/>
      <c r="MNC169" s="2242"/>
      <c r="MND169" s="1360"/>
      <c r="MNE169" s="955"/>
      <c r="MNF169" s="1361"/>
      <c r="MNG169" s="1360"/>
      <c r="MNH169" s="1925"/>
      <c r="MNI169" s="955"/>
      <c r="MNJ169" s="963"/>
      <c r="MNK169" s="2242"/>
      <c r="MNL169" s="1360"/>
      <c r="MNM169" s="955"/>
      <c r="MNN169" s="1361"/>
      <c r="MNO169" s="1360"/>
      <c r="MNP169" s="1925"/>
      <c r="MNQ169" s="955"/>
      <c r="MNR169" s="963"/>
      <c r="MNS169" s="2242"/>
      <c r="MNT169" s="1360"/>
      <c r="MNU169" s="955"/>
      <c r="MNV169" s="1361"/>
      <c r="MNW169" s="1360"/>
      <c r="MNX169" s="1925"/>
      <c r="MNY169" s="955"/>
      <c r="MNZ169" s="963"/>
      <c r="MOA169" s="2242"/>
      <c r="MOB169" s="1360"/>
      <c r="MOC169" s="955"/>
      <c r="MOD169" s="1361"/>
      <c r="MOE169" s="1360"/>
      <c r="MOF169" s="1925"/>
      <c r="MOG169" s="955"/>
      <c r="MOH169" s="963"/>
      <c r="MOI169" s="2242"/>
      <c r="MOJ169" s="1360"/>
      <c r="MOK169" s="955"/>
      <c r="MOL169" s="1361"/>
      <c r="MOM169" s="1360"/>
      <c r="MON169" s="1925"/>
      <c r="MOO169" s="955"/>
      <c r="MOP169" s="963"/>
      <c r="MOQ169" s="2242"/>
      <c r="MOR169" s="1360"/>
      <c r="MOS169" s="955"/>
      <c r="MOT169" s="1361"/>
      <c r="MOU169" s="1360"/>
      <c r="MOV169" s="1925"/>
      <c r="MOW169" s="955"/>
      <c r="MOX169" s="963"/>
      <c r="MOY169" s="2242"/>
      <c r="MOZ169" s="1360"/>
      <c r="MPA169" s="955"/>
      <c r="MPB169" s="1361"/>
      <c r="MPC169" s="1360"/>
      <c r="MPD169" s="1925"/>
      <c r="MPE169" s="955"/>
      <c r="MPF169" s="963"/>
      <c r="MPG169" s="2242"/>
      <c r="MPH169" s="1360"/>
      <c r="MPI169" s="955"/>
      <c r="MPJ169" s="1361"/>
      <c r="MPK169" s="1360"/>
      <c r="MPL169" s="1925"/>
      <c r="MPM169" s="955"/>
      <c r="MPN169" s="963"/>
      <c r="MPO169" s="2242"/>
      <c r="MPP169" s="1360"/>
      <c r="MPQ169" s="955"/>
      <c r="MPR169" s="1361"/>
      <c r="MPS169" s="1360"/>
      <c r="MPT169" s="1925"/>
      <c r="MPU169" s="955"/>
      <c r="MPV169" s="963"/>
      <c r="MPW169" s="2242"/>
      <c r="MPX169" s="1360"/>
      <c r="MPY169" s="955"/>
      <c r="MPZ169" s="1361"/>
      <c r="MQA169" s="1360"/>
      <c r="MQB169" s="1925"/>
      <c r="MQC169" s="955"/>
      <c r="MQD169" s="963"/>
      <c r="MQE169" s="2242"/>
      <c r="MQF169" s="1360"/>
      <c r="MQG169" s="955"/>
      <c r="MQH169" s="1361"/>
      <c r="MQI169" s="1360"/>
      <c r="MQJ169" s="1925"/>
      <c r="MQK169" s="955"/>
      <c r="MQL169" s="963"/>
      <c r="MQM169" s="2242"/>
      <c r="MQN169" s="1360"/>
      <c r="MQO169" s="955"/>
      <c r="MQP169" s="1361"/>
      <c r="MQQ169" s="1360"/>
      <c r="MQR169" s="1925"/>
      <c r="MQS169" s="955"/>
      <c r="MQT169" s="963"/>
      <c r="MQU169" s="2242"/>
      <c r="MQV169" s="1360"/>
      <c r="MQW169" s="955"/>
      <c r="MQX169" s="1361"/>
      <c r="MQY169" s="1360"/>
      <c r="MQZ169" s="1925"/>
      <c r="MRA169" s="955"/>
      <c r="MRB169" s="963"/>
      <c r="MRC169" s="2242"/>
      <c r="MRD169" s="1360"/>
      <c r="MRE169" s="955"/>
      <c r="MRF169" s="1361"/>
      <c r="MRG169" s="1360"/>
      <c r="MRH169" s="1925"/>
      <c r="MRI169" s="955"/>
      <c r="MRJ169" s="963"/>
      <c r="MRK169" s="2242"/>
      <c r="MRL169" s="1360"/>
      <c r="MRM169" s="955"/>
      <c r="MRN169" s="1361"/>
      <c r="MRO169" s="1360"/>
      <c r="MRP169" s="1925"/>
      <c r="MRQ169" s="955"/>
      <c r="MRR169" s="963"/>
      <c r="MRS169" s="2242"/>
      <c r="MRT169" s="1360"/>
      <c r="MRU169" s="955"/>
      <c r="MRV169" s="1361"/>
      <c r="MRW169" s="1360"/>
      <c r="MRX169" s="1925"/>
      <c r="MRY169" s="955"/>
      <c r="MRZ169" s="963"/>
      <c r="MSA169" s="2242"/>
      <c r="MSB169" s="1360"/>
      <c r="MSC169" s="955"/>
      <c r="MSD169" s="1361"/>
      <c r="MSE169" s="1360"/>
      <c r="MSF169" s="1925"/>
      <c r="MSG169" s="955"/>
      <c r="MSH169" s="963"/>
      <c r="MSI169" s="2242"/>
      <c r="MSJ169" s="1360"/>
      <c r="MSK169" s="955"/>
      <c r="MSL169" s="1361"/>
      <c r="MSM169" s="1360"/>
      <c r="MSN169" s="1925"/>
      <c r="MSO169" s="955"/>
      <c r="MSP169" s="963"/>
      <c r="MSQ169" s="2242"/>
      <c r="MSR169" s="1360"/>
      <c r="MSS169" s="955"/>
      <c r="MST169" s="1361"/>
      <c r="MSU169" s="1360"/>
      <c r="MSV169" s="1925"/>
      <c r="MSW169" s="955"/>
      <c r="MSX169" s="963"/>
      <c r="MSY169" s="2242"/>
      <c r="MSZ169" s="1360"/>
      <c r="MTA169" s="955"/>
      <c r="MTB169" s="1361"/>
      <c r="MTC169" s="1360"/>
      <c r="MTD169" s="1925"/>
      <c r="MTE169" s="955"/>
      <c r="MTF169" s="963"/>
      <c r="MTG169" s="2242"/>
      <c r="MTH169" s="1360"/>
      <c r="MTI169" s="955"/>
      <c r="MTJ169" s="1361"/>
      <c r="MTK169" s="1360"/>
      <c r="MTL169" s="1925"/>
      <c r="MTM169" s="955"/>
      <c r="MTN169" s="963"/>
      <c r="MTO169" s="2242"/>
      <c r="MTP169" s="1360"/>
      <c r="MTQ169" s="955"/>
      <c r="MTR169" s="1361"/>
      <c r="MTS169" s="1360"/>
      <c r="MTT169" s="1925"/>
      <c r="MTU169" s="955"/>
      <c r="MTV169" s="963"/>
      <c r="MTW169" s="2242"/>
      <c r="MTX169" s="1360"/>
      <c r="MTY169" s="955"/>
      <c r="MTZ169" s="1361"/>
      <c r="MUA169" s="1360"/>
      <c r="MUB169" s="1925"/>
      <c r="MUC169" s="955"/>
      <c r="MUD169" s="963"/>
      <c r="MUE169" s="2242"/>
      <c r="MUF169" s="1360"/>
      <c r="MUG169" s="955"/>
      <c r="MUH169" s="1361"/>
      <c r="MUI169" s="1360"/>
      <c r="MUJ169" s="1925"/>
      <c r="MUK169" s="955"/>
      <c r="MUL169" s="963"/>
      <c r="MUM169" s="2242"/>
      <c r="MUN169" s="1360"/>
      <c r="MUO169" s="955"/>
      <c r="MUP169" s="1361"/>
      <c r="MUQ169" s="1360"/>
      <c r="MUR169" s="1925"/>
      <c r="MUS169" s="955"/>
      <c r="MUT169" s="963"/>
      <c r="MUU169" s="2242"/>
      <c r="MUV169" s="1360"/>
      <c r="MUW169" s="955"/>
      <c r="MUX169" s="1361"/>
      <c r="MUY169" s="1360"/>
      <c r="MUZ169" s="1925"/>
      <c r="MVA169" s="955"/>
      <c r="MVB169" s="963"/>
      <c r="MVC169" s="2242"/>
      <c r="MVD169" s="1360"/>
      <c r="MVE169" s="955"/>
      <c r="MVF169" s="1361"/>
      <c r="MVG169" s="1360"/>
      <c r="MVH169" s="1925"/>
      <c r="MVI169" s="955"/>
      <c r="MVJ169" s="963"/>
      <c r="MVK169" s="2242"/>
      <c r="MVL169" s="1360"/>
      <c r="MVM169" s="955"/>
      <c r="MVN169" s="1361"/>
      <c r="MVO169" s="1360"/>
      <c r="MVP169" s="1925"/>
      <c r="MVQ169" s="955"/>
      <c r="MVR169" s="963"/>
      <c r="MVS169" s="2242"/>
      <c r="MVT169" s="1360"/>
      <c r="MVU169" s="955"/>
      <c r="MVV169" s="1361"/>
      <c r="MVW169" s="1360"/>
      <c r="MVX169" s="1925"/>
      <c r="MVY169" s="955"/>
      <c r="MVZ169" s="963"/>
      <c r="MWA169" s="2242"/>
      <c r="MWB169" s="1360"/>
      <c r="MWC169" s="955"/>
      <c r="MWD169" s="1361"/>
      <c r="MWE169" s="1360"/>
      <c r="MWF169" s="1925"/>
      <c r="MWG169" s="955"/>
      <c r="MWH169" s="963"/>
      <c r="MWI169" s="2242"/>
      <c r="MWJ169" s="1360"/>
      <c r="MWK169" s="955"/>
      <c r="MWL169" s="1361"/>
      <c r="MWM169" s="1360"/>
      <c r="MWN169" s="1925"/>
      <c r="MWO169" s="955"/>
      <c r="MWP169" s="963"/>
      <c r="MWQ169" s="2242"/>
      <c r="MWR169" s="1360"/>
      <c r="MWS169" s="955"/>
      <c r="MWT169" s="1361"/>
      <c r="MWU169" s="1360"/>
      <c r="MWV169" s="1925"/>
      <c r="MWW169" s="955"/>
      <c r="MWX169" s="963"/>
      <c r="MWY169" s="2242"/>
      <c r="MWZ169" s="1360"/>
      <c r="MXA169" s="955"/>
      <c r="MXB169" s="1361"/>
      <c r="MXC169" s="1360"/>
      <c r="MXD169" s="1925"/>
      <c r="MXE169" s="955"/>
      <c r="MXF169" s="963"/>
      <c r="MXG169" s="2242"/>
      <c r="MXH169" s="1360"/>
      <c r="MXI169" s="955"/>
      <c r="MXJ169" s="1361"/>
      <c r="MXK169" s="1360"/>
      <c r="MXL169" s="1925"/>
      <c r="MXM169" s="955"/>
      <c r="MXN169" s="963"/>
      <c r="MXO169" s="2242"/>
      <c r="MXP169" s="1360"/>
      <c r="MXQ169" s="955"/>
      <c r="MXR169" s="1361"/>
      <c r="MXS169" s="1360"/>
      <c r="MXT169" s="1925"/>
      <c r="MXU169" s="955"/>
      <c r="MXV169" s="963"/>
      <c r="MXW169" s="2242"/>
      <c r="MXX169" s="1360"/>
      <c r="MXY169" s="955"/>
      <c r="MXZ169" s="1361"/>
      <c r="MYA169" s="1360"/>
      <c r="MYB169" s="1925"/>
      <c r="MYC169" s="955"/>
      <c r="MYD169" s="963"/>
      <c r="MYE169" s="2242"/>
      <c r="MYF169" s="1360"/>
      <c r="MYG169" s="955"/>
      <c r="MYH169" s="1361"/>
      <c r="MYI169" s="1360"/>
      <c r="MYJ169" s="1925"/>
      <c r="MYK169" s="955"/>
      <c r="MYL169" s="963"/>
      <c r="MYM169" s="2242"/>
      <c r="MYN169" s="1360"/>
      <c r="MYO169" s="955"/>
      <c r="MYP169" s="1361"/>
      <c r="MYQ169" s="1360"/>
      <c r="MYR169" s="1925"/>
      <c r="MYS169" s="955"/>
      <c r="MYT169" s="963"/>
      <c r="MYU169" s="2242"/>
      <c r="MYV169" s="1360"/>
      <c r="MYW169" s="955"/>
      <c r="MYX169" s="1361"/>
      <c r="MYY169" s="1360"/>
      <c r="MYZ169" s="1925"/>
      <c r="MZA169" s="955"/>
      <c r="MZB169" s="963"/>
      <c r="MZC169" s="2242"/>
      <c r="MZD169" s="1360"/>
      <c r="MZE169" s="955"/>
      <c r="MZF169" s="1361"/>
      <c r="MZG169" s="1360"/>
      <c r="MZH169" s="1925"/>
      <c r="MZI169" s="955"/>
      <c r="MZJ169" s="963"/>
      <c r="MZK169" s="2242"/>
      <c r="MZL169" s="1360"/>
      <c r="MZM169" s="955"/>
      <c r="MZN169" s="1361"/>
      <c r="MZO169" s="1360"/>
      <c r="MZP169" s="1925"/>
      <c r="MZQ169" s="955"/>
      <c r="MZR169" s="963"/>
      <c r="MZS169" s="2242"/>
      <c r="MZT169" s="1360"/>
      <c r="MZU169" s="955"/>
      <c r="MZV169" s="1361"/>
      <c r="MZW169" s="1360"/>
      <c r="MZX169" s="1925"/>
      <c r="MZY169" s="955"/>
      <c r="MZZ169" s="963"/>
      <c r="NAA169" s="2242"/>
      <c r="NAB169" s="1360"/>
      <c r="NAC169" s="955"/>
      <c r="NAD169" s="1361"/>
      <c r="NAE169" s="1360"/>
      <c r="NAF169" s="1925"/>
      <c r="NAG169" s="955"/>
      <c r="NAH169" s="963"/>
      <c r="NAI169" s="2242"/>
      <c r="NAJ169" s="1360"/>
      <c r="NAK169" s="955"/>
      <c r="NAL169" s="1361"/>
      <c r="NAM169" s="1360"/>
      <c r="NAN169" s="1925"/>
      <c r="NAO169" s="955"/>
      <c r="NAP169" s="963"/>
      <c r="NAQ169" s="2242"/>
      <c r="NAR169" s="1360"/>
      <c r="NAS169" s="955"/>
      <c r="NAT169" s="1361"/>
      <c r="NAU169" s="1360"/>
      <c r="NAV169" s="1925"/>
      <c r="NAW169" s="955"/>
      <c r="NAX169" s="963"/>
      <c r="NAY169" s="2242"/>
      <c r="NAZ169" s="1360"/>
      <c r="NBA169" s="955"/>
      <c r="NBB169" s="1361"/>
      <c r="NBC169" s="1360"/>
      <c r="NBD169" s="1925"/>
      <c r="NBE169" s="955"/>
      <c r="NBF169" s="963"/>
      <c r="NBG169" s="2242"/>
      <c r="NBH169" s="1360"/>
      <c r="NBI169" s="955"/>
      <c r="NBJ169" s="1361"/>
      <c r="NBK169" s="1360"/>
      <c r="NBL169" s="1925"/>
      <c r="NBM169" s="955"/>
      <c r="NBN169" s="963"/>
      <c r="NBO169" s="2242"/>
      <c r="NBP169" s="1360"/>
      <c r="NBQ169" s="955"/>
      <c r="NBR169" s="1361"/>
      <c r="NBS169" s="1360"/>
      <c r="NBT169" s="1925"/>
      <c r="NBU169" s="955"/>
      <c r="NBV169" s="963"/>
      <c r="NBW169" s="2242"/>
      <c r="NBX169" s="1360"/>
      <c r="NBY169" s="955"/>
      <c r="NBZ169" s="1361"/>
      <c r="NCA169" s="1360"/>
      <c r="NCB169" s="1925"/>
      <c r="NCC169" s="955"/>
      <c r="NCD169" s="963"/>
      <c r="NCE169" s="2242"/>
      <c r="NCF169" s="1360"/>
      <c r="NCG169" s="955"/>
      <c r="NCH169" s="1361"/>
      <c r="NCI169" s="1360"/>
      <c r="NCJ169" s="1925"/>
      <c r="NCK169" s="955"/>
      <c r="NCL169" s="963"/>
      <c r="NCM169" s="2242"/>
      <c r="NCN169" s="1360"/>
      <c r="NCO169" s="955"/>
      <c r="NCP169" s="1361"/>
      <c r="NCQ169" s="1360"/>
      <c r="NCR169" s="1925"/>
      <c r="NCS169" s="955"/>
      <c r="NCT169" s="963"/>
      <c r="NCU169" s="2242"/>
      <c r="NCV169" s="1360"/>
      <c r="NCW169" s="955"/>
      <c r="NCX169" s="1361"/>
      <c r="NCY169" s="1360"/>
      <c r="NCZ169" s="1925"/>
      <c r="NDA169" s="955"/>
      <c r="NDB169" s="963"/>
      <c r="NDC169" s="2242"/>
      <c r="NDD169" s="1360"/>
      <c r="NDE169" s="955"/>
      <c r="NDF169" s="1361"/>
      <c r="NDG169" s="1360"/>
      <c r="NDH169" s="1925"/>
      <c r="NDI169" s="955"/>
      <c r="NDJ169" s="963"/>
      <c r="NDK169" s="2242"/>
      <c r="NDL169" s="1360"/>
      <c r="NDM169" s="955"/>
      <c r="NDN169" s="1361"/>
      <c r="NDO169" s="1360"/>
      <c r="NDP169" s="1925"/>
      <c r="NDQ169" s="955"/>
      <c r="NDR169" s="963"/>
      <c r="NDS169" s="2242"/>
      <c r="NDT169" s="1360"/>
      <c r="NDU169" s="955"/>
      <c r="NDV169" s="1361"/>
      <c r="NDW169" s="1360"/>
      <c r="NDX169" s="1925"/>
      <c r="NDY169" s="955"/>
      <c r="NDZ169" s="963"/>
      <c r="NEA169" s="2242"/>
      <c r="NEB169" s="1360"/>
      <c r="NEC169" s="955"/>
      <c r="NED169" s="1361"/>
      <c r="NEE169" s="1360"/>
      <c r="NEF169" s="1925"/>
      <c r="NEG169" s="955"/>
      <c r="NEH169" s="963"/>
      <c r="NEI169" s="2242"/>
      <c r="NEJ169" s="1360"/>
      <c r="NEK169" s="955"/>
      <c r="NEL169" s="1361"/>
      <c r="NEM169" s="1360"/>
      <c r="NEN169" s="1925"/>
      <c r="NEO169" s="955"/>
      <c r="NEP169" s="963"/>
      <c r="NEQ169" s="2242"/>
      <c r="NER169" s="1360"/>
      <c r="NES169" s="955"/>
      <c r="NET169" s="1361"/>
      <c r="NEU169" s="1360"/>
      <c r="NEV169" s="1925"/>
      <c r="NEW169" s="955"/>
      <c r="NEX169" s="963"/>
      <c r="NEY169" s="2242"/>
      <c r="NEZ169" s="1360"/>
      <c r="NFA169" s="955"/>
      <c r="NFB169" s="1361"/>
      <c r="NFC169" s="1360"/>
      <c r="NFD169" s="1925"/>
      <c r="NFE169" s="955"/>
      <c r="NFF169" s="963"/>
      <c r="NFG169" s="2242"/>
      <c r="NFH169" s="1360"/>
      <c r="NFI169" s="955"/>
      <c r="NFJ169" s="1361"/>
      <c r="NFK169" s="1360"/>
      <c r="NFL169" s="1925"/>
      <c r="NFM169" s="955"/>
      <c r="NFN169" s="963"/>
      <c r="NFO169" s="2242"/>
      <c r="NFP169" s="1360"/>
      <c r="NFQ169" s="955"/>
      <c r="NFR169" s="1361"/>
      <c r="NFS169" s="1360"/>
      <c r="NFT169" s="1925"/>
      <c r="NFU169" s="955"/>
      <c r="NFV169" s="963"/>
      <c r="NFW169" s="2242"/>
      <c r="NFX169" s="1360"/>
      <c r="NFY169" s="955"/>
      <c r="NFZ169" s="1361"/>
      <c r="NGA169" s="1360"/>
      <c r="NGB169" s="1925"/>
      <c r="NGC169" s="955"/>
      <c r="NGD169" s="963"/>
      <c r="NGE169" s="2242"/>
      <c r="NGF169" s="1360"/>
      <c r="NGG169" s="955"/>
      <c r="NGH169" s="1361"/>
      <c r="NGI169" s="1360"/>
      <c r="NGJ169" s="1925"/>
      <c r="NGK169" s="955"/>
      <c r="NGL169" s="963"/>
      <c r="NGM169" s="2242"/>
      <c r="NGN169" s="1360"/>
      <c r="NGO169" s="955"/>
      <c r="NGP169" s="1361"/>
      <c r="NGQ169" s="1360"/>
      <c r="NGR169" s="1925"/>
      <c r="NGS169" s="955"/>
      <c r="NGT169" s="963"/>
      <c r="NGU169" s="2242"/>
      <c r="NGV169" s="1360"/>
      <c r="NGW169" s="955"/>
      <c r="NGX169" s="1361"/>
      <c r="NGY169" s="1360"/>
      <c r="NGZ169" s="1925"/>
      <c r="NHA169" s="955"/>
      <c r="NHB169" s="963"/>
      <c r="NHC169" s="2242"/>
      <c r="NHD169" s="1360"/>
      <c r="NHE169" s="955"/>
      <c r="NHF169" s="1361"/>
      <c r="NHG169" s="1360"/>
      <c r="NHH169" s="1925"/>
      <c r="NHI169" s="955"/>
      <c r="NHJ169" s="963"/>
      <c r="NHK169" s="2242"/>
      <c r="NHL169" s="1360"/>
      <c r="NHM169" s="955"/>
      <c r="NHN169" s="1361"/>
      <c r="NHO169" s="1360"/>
      <c r="NHP169" s="1925"/>
      <c r="NHQ169" s="955"/>
      <c r="NHR169" s="963"/>
      <c r="NHS169" s="2242"/>
      <c r="NHT169" s="1360"/>
      <c r="NHU169" s="955"/>
      <c r="NHV169" s="1361"/>
      <c r="NHW169" s="1360"/>
      <c r="NHX169" s="1925"/>
      <c r="NHY169" s="955"/>
      <c r="NHZ169" s="963"/>
      <c r="NIA169" s="2242"/>
      <c r="NIB169" s="1360"/>
      <c r="NIC169" s="955"/>
      <c r="NID169" s="1361"/>
      <c r="NIE169" s="1360"/>
      <c r="NIF169" s="1925"/>
      <c r="NIG169" s="955"/>
      <c r="NIH169" s="963"/>
      <c r="NII169" s="2242"/>
      <c r="NIJ169" s="1360"/>
      <c r="NIK169" s="955"/>
      <c r="NIL169" s="1361"/>
      <c r="NIM169" s="1360"/>
      <c r="NIN169" s="1925"/>
      <c r="NIO169" s="955"/>
      <c r="NIP169" s="963"/>
      <c r="NIQ169" s="2242"/>
      <c r="NIR169" s="1360"/>
      <c r="NIS169" s="955"/>
      <c r="NIT169" s="1361"/>
      <c r="NIU169" s="1360"/>
      <c r="NIV169" s="1925"/>
      <c r="NIW169" s="955"/>
      <c r="NIX169" s="963"/>
      <c r="NIY169" s="2242"/>
      <c r="NIZ169" s="1360"/>
      <c r="NJA169" s="955"/>
      <c r="NJB169" s="1361"/>
      <c r="NJC169" s="1360"/>
      <c r="NJD169" s="1925"/>
      <c r="NJE169" s="955"/>
      <c r="NJF169" s="963"/>
      <c r="NJG169" s="2242"/>
      <c r="NJH169" s="1360"/>
      <c r="NJI169" s="955"/>
      <c r="NJJ169" s="1361"/>
      <c r="NJK169" s="1360"/>
      <c r="NJL169" s="1925"/>
      <c r="NJM169" s="955"/>
      <c r="NJN169" s="963"/>
      <c r="NJO169" s="2242"/>
      <c r="NJP169" s="1360"/>
      <c r="NJQ169" s="955"/>
      <c r="NJR169" s="1361"/>
      <c r="NJS169" s="1360"/>
      <c r="NJT169" s="1925"/>
      <c r="NJU169" s="955"/>
      <c r="NJV169" s="963"/>
      <c r="NJW169" s="2242"/>
      <c r="NJX169" s="1360"/>
      <c r="NJY169" s="955"/>
      <c r="NJZ169" s="1361"/>
      <c r="NKA169" s="1360"/>
      <c r="NKB169" s="1925"/>
      <c r="NKC169" s="955"/>
      <c r="NKD169" s="963"/>
      <c r="NKE169" s="2242"/>
      <c r="NKF169" s="1360"/>
      <c r="NKG169" s="955"/>
      <c r="NKH169" s="1361"/>
      <c r="NKI169" s="1360"/>
      <c r="NKJ169" s="1925"/>
      <c r="NKK169" s="955"/>
      <c r="NKL169" s="963"/>
      <c r="NKM169" s="2242"/>
      <c r="NKN169" s="1360"/>
      <c r="NKO169" s="955"/>
      <c r="NKP169" s="1361"/>
      <c r="NKQ169" s="1360"/>
      <c r="NKR169" s="1925"/>
      <c r="NKS169" s="955"/>
      <c r="NKT169" s="963"/>
      <c r="NKU169" s="2242"/>
      <c r="NKV169" s="1360"/>
      <c r="NKW169" s="955"/>
      <c r="NKX169" s="1361"/>
      <c r="NKY169" s="1360"/>
      <c r="NKZ169" s="1925"/>
      <c r="NLA169" s="955"/>
      <c r="NLB169" s="963"/>
      <c r="NLC169" s="2242"/>
      <c r="NLD169" s="1360"/>
      <c r="NLE169" s="955"/>
      <c r="NLF169" s="1361"/>
      <c r="NLG169" s="1360"/>
      <c r="NLH169" s="1925"/>
      <c r="NLI169" s="955"/>
      <c r="NLJ169" s="963"/>
      <c r="NLK169" s="2242"/>
      <c r="NLL169" s="1360"/>
      <c r="NLM169" s="955"/>
      <c r="NLN169" s="1361"/>
      <c r="NLO169" s="1360"/>
      <c r="NLP169" s="1925"/>
      <c r="NLQ169" s="955"/>
      <c r="NLR169" s="963"/>
      <c r="NLS169" s="2242"/>
      <c r="NLT169" s="1360"/>
      <c r="NLU169" s="955"/>
      <c r="NLV169" s="1361"/>
      <c r="NLW169" s="1360"/>
      <c r="NLX169" s="1925"/>
      <c r="NLY169" s="955"/>
      <c r="NLZ169" s="963"/>
      <c r="NMA169" s="2242"/>
      <c r="NMB169" s="1360"/>
      <c r="NMC169" s="955"/>
      <c r="NMD169" s="1361"/>
      <c r="NME169" s="1360"/>
      <c r="NMF169" s="1925"/>
      <c r="NMG169" s="955"/>
      <c r="NMH169" s="963"/>
      <c r="NMI169" s="2242"/>
      <c r="NMJ169" s="1360"/>
      <c r="NMK169" s="955"/>
      <c r="NML169" s="1361"/>
      <c r="NMM169" s="1360"/>
      <c r="NMN169" s="1925"/>
      <c r="NMO169" s="955"/>
      <c r="NMP169" s="963"/>
      <c r="NMQ169" s="2242"/>
      <c r="NMR169" s="1360"/>
      <c r="NMS169" s="955"/>
      <c r="NMT169" s="1361"/>
      <c r="NMU169" s="1360"/>
      <c r="NMV169" s="1925"/>
      <c r="NMW169" s="955"/>
      <c r="NMX169" s="963"/>
      <c r="NMY169" s="2242"/>
      <c r="NMZ169" s="1360"/>
      <c r="NNA169" s="955"/>
      <c r="NNB169" s="1361"/>
      <c r="NNC169" s="1360"/>
      <c r="NND169" s="1925"/>
      <c r="NNE169" s="955"/>
      <c r="NNF169" s="963"/>
      <c r="NNG169" s="2242"/>
      <c r="NNH169" s="1360"/>
      <c r="NNI169" s="955"/>
      <c r="NNJ169" s="1361"/>
      <c r="NNK169" s="1360"/>
      <c r="NNL169" s="1925"/>
      <c r="NNM169" s="955"/>
      <c r="NNN169" s="963"/>
      <c r="NNO169" s="2242"/>
      <c r="NNP169" s="1360"/>
      <c r="NNQ169" s="955"/>
      <c r="NNR169" s="1361"/>
      <c r="NNS169" s="1360"/>
      <c r="NNT169" s="1925"/>
      <c r="NNU169" s="955"/>
      <c r="NNV169" s="963"/>
      <c r="NNW169" s="2242"/>
      <c r="NNX169" s="1360"/>
      <c r="NNY169" s="955"/>
      <c r="NNZ169" s="1361"/>
      <c r="NOA169" s="1360"/>
      <c r="NOB169" s="1925"/>
      <c r="NOC169" s="955"/>
      <c r="NOD169" s="963"/>
      <c r="NOE169" s="2242"/>
      <c r="NOF169" s="1360"/>
      <c r="NOG169" s="955"/>
      <c r="NOH169" s="1361"/>
      <c r="NOI169" s="1360"/>
      <c r="NOJ169" s="1925"/>
      <c r="NOK169" s="955"/>
      <c r="NOL169" s="963"/>
      <c r="NOM169" s="2242"/>
      <c r="NON169" s="1360"/>
      <c r="NOO169" s="955"/>
      <c r="NOP169" s="1361"/>
      <c r="NOQ169" s="1360"/>
      <c r="NOR169" s="1925"/>
      <c r="NOS169" s="955"/>
      <c r="NOT169" s="963"/>
      <c r="NOU169" s="2242"/>
      <c r="NOV169" s="1360"/>
      <c r="NOW169" s="955"/>
      <c r="NOX169" s="1361"/>
      <c r="NOY169" s="1360"/>
      <c r="NOZ169" s="1925"/>
      <c r="NPA169" s="955"/>
      <c r="NPB169" s="963"/>
      <c r="NPC169" s="2242"/>
      <c r="NPD169" s="1360"/>
      <c r="NPE169" s="955"/>
      <c r="NPF169" s="1361"/>
      <c r="NPG169" s="1360"/>
      <c r="NPH169" s="1925"/>
      <c r="NPI169" s="955"/>
      <c r="NPJ169" s="963"/>
      <c r="NPK169" s="2242"/>
      <c r="NPL169" s="1360"/>
      <c r="NPM169" s="955"/>
      <c r="NPN169" s="1361"/>
      <c r="NPO169" s="1360"/>
      <c r="NPP169" s="1925"/>
      <c r="NPQ169" s="955"/>
      <c r="NPR169" s="963"/>
      <c r="NPS169" s="2242"/>
      <c r="NPT169" s="1360"/>
      <c r="NPU169" s="955"/>
      <c r="NPV169" s="1361"/>
      <c r="NPW169" s="1360"/>
      <c r="NPX169" s="1925"/>
      <c r="NPY169" s="955"/>
      <c r="NPZ169" s="963"/>
      <c r="NQA169" s="2242"/>
      <c r="NQB169" s="1360"/>
      <c r="NQC169" s="955"/>
      <c r="NQD169" s="1361"/>
      <c r="NQE169" s="1360"/>
      <c r="NQF169" s="1925"/>
      <c r="NQG169" s="955"/>
      <c r="NQH169" s="963"/>
      <c r="NQI169" s="2242"/>
      <c r="NQJ169" s="1360"/>
      <c r="NQK169" s="955"/>
      <c r="NQL169" s="1361"/>
      <c r="NQM169" s="1360"/>
      <c r="NQN169" s="1925"/>
      <c r="NQO169" s="955"/>
      <c r="NQP169" s="963"/>
      <c r="NQQ169" s="2242"/>
      <c r="NQR169" s="1360"/>
      <c r="NQS169" s="955"/>
      <c r="NQT169" s="1361"/>
      <c r="NQU169" s="1360"/>
      <c r="NQV169" s="1925"/>
      <c r="NQW169" s="955"/>
      <c r="NQX169" s="963"/>
      <c r="NQY169" s="2242"/>
      <c r="NQZ169" s="1360"/>
      <c r="NRA169" s="955"/>
      <c r="NRB169" s="1361"/>
      <c r="NRC169" s="1360"/>
      <c r="NRD169" s="1925"/>
      <c r="NRE169" s="955"/>
      <c r="NRF169" s="963"/>
      <c r="NRG169" s="2242"/>
      <c r="NRH169" s="1360"/>
      <c r="NRI169" s="955"/>
      <c r="NRJ169" s="1361"/>
      <c r="NRK169" s="1360"/>
      <c r="NRL169" s="1925"/>
      <c r="NRM169" s="955"/>
      <c r="NRN169" s="963"/>
      <c r="NRO169" s="2242"/>
      <c r="NRP169" s="1360"/>
      <c r="NRQ169" s="955"/>
      <c r="NRR169" s="1361"/>
      <c r="NRS169" s="1360"/>
      <c r="NRT169" s="1925"/>
      <c r="NRU169" s="955"/>
      <c r="NRV169" s="963"/>
      <c r="NRW169" s="2242"/>
      <c r="NRX169" s="1360"/>
      <c r="NRY169" s="955"/>
      <c r="NRZ169" s="1361"/>
      <c r="NSA169" s="1360"/>
      <c r="NSB169" s="1925"/>
      <c r="NSC169" s="955"/>
      <c r="NSD169" s="963"/>
      <c r="NSE169" s="2242"/>
      <c r="NSF169" s="1360"/>
      <c r="NSG169" s="955"/>
      <c r="NSH169" s="1361"/>
      <c r="NSI169" s="1360"/>
      <c r="NSJ169" s="1925"/>
      <c r="NSK169" s="955"/>
      <c r="NSL169" s="963"/>
      <c r="NSM169" s="2242"/>
      <c r="NSN169" s="1360"/>
      <c r="NSO169" s="955"/>
      <c r="NSP169" s="1361"/>
      <c r="NSQ169" s="1360"/>
      <c r="NSR169" s="1925"/>
      <c r="NSS169" s="955"/>
      <c r="NST169" s="963"/>
      <c r="NSU169" s="2242"/>
      <c r="NSV169" s="1360"/>
      <c r="NSW169" s="955"/>
      <c r="NSX169" s="1361"/>
      <c r="NSY169" s="1360"/>
      <c r="NSZ169" s="1925"/>
      <c r="NTA169" s="955"/>
      <c r="NTB169" s="963"/>
      <c r="NTC169" s="2242"/>
      <c r="NTD169" s="1360"/>
      <c r="NTE169" s="955"/>
      <c r="NTF169" s="1361"/>
      <c r="NTG169" s="1360"/>
      <c r="NTH169" s="1925"/>
      <c r="NTI169" s="955"/>
      <c r="NTJ169" s="963"/>
      <c r="NTK169" s="2242"/>
      <c r="NTL169" s="1360"/>
      <c r="NTM169" s="955"/>
      <c r="NTN169" s="1361"/>
      <c r="NTO169" s="1360"/>
      <c r="NTP169" s="1925"/>
      <c r="NTQ169" s="955"/>
      <c r="NTR169" s="963"/>
      <c r="NTS169" s="2242"/>
      <c r="NTT169" s="1360"/>
      <c r="NTU169" s="955"/>
      <c r="NTV169" s="1361"/>
      <c r="NTW169" s="1360"/>
      <c r="NTX169" s="1925"/>
      <c r="NTY169" s="955"/>
      <c r="NTZ169" s="963"/>
      <c r="NUA169" s="2242"/>
      <c r="NUB169" s="1360"/>
      <c r="NUC169" s="955"/>
      <c r="NUD169" s="1361"/>
      <c r="NUE169" s="1360"/>
      <c r="NUF169" s="1925"/>
      <c r="NUG169" s="955"/>
      <c r="NUH169" s="963"/>
      <c r="NUI169" s="2242"/>
      <c r="NUJ169" s="1360"/>
      <c r="NUK169" s="955"/>
      <c r="NUL169" s="1361"/>
      <c r="NUM169" s="1360"/>
      <c r="NUN169" s="1925"/>
      <c r="NUO169" s="955"/>
      <c r="NUP169" s="963"/>
      <c r="NUQ169" s="2242"/>
      <c r="NUR169" s="1360"/>
      <c r="NUS169" s="955"/>
      <c r="NUT169" s="1361"/>
      <c r="NUU169" s="1360"/>
      <c r="NUV169" s="1925"/>
      <c r="NUW169" s="955"/>
      <c r="NUX169" s="963"/>
      <c r="NUY169" s="2242"/>
      <c r="NUZ169" s="1360"/>
      <c r="NVA169" s="955"/>
      <c r="NVB169" s="1361"/>
      <c r="NVC169" s="1360"/>
      <c r="NVD169" s="1925"/>
      <c r="NVE169" s="955"/>
      <c r="NVF169" s="963"/>
      <c r="NVG169" s="2242"/>
      <c r="NVH169" s="1360"/>
      <c r="NVI169" s="955"/>
      <c r="NVJ169" s="1361"/>
      <c r="NVK169" s="1360"/>
      <c r="NVL169" s="1925"/>
      <c r="NVM169" s="955"/>
      <c r="NVN169" s="963"/>
      <c r="NVO169" s="2242"/>
      <c r="NVP169" s="1360"/>
      <c r="NVQ169" s="955"/>
      <c r="NVR169" s="1361"/>
      <c r="NVS169" s="1360"/>
      <c r="NVT169" s="1925"/>
      <c r="NVU169" s="955"/>
      <c r="NVV169" s="963"/>
      <c r="NVW169" s="2242"/>
      <c r="NVX169" s="1360"/>
      <c r="NVY169" s="955"/>
      <c r="NVZ169" s="1361"/>
      <c r="NWA169" s="1360"/>
      <c r="NWB169" s="1925"/>
      <c r="NWC169" s="955"/>
      <c r="NWD169" s="963"/>
      <c r="NWE169" s="2242"/>
      <c r="NWF169" s="1360"/>
      <c r="NWG169" s="955"/>
      <c r="NWH169" s="1361"/>
      <c r="NWI169" s="1360"/>
      <c r="NWJ169" s="1925"/>
      <c r="NWK169" s="955"/>
      <c r="NWL169" s="963"/>
      <c r="NWM169" s="2242"/>
      <c r="NWN169" s="1360"/>
      <c r="NWO169" s="955"/>
      <c r="NWP169" s="1361"/>
      <c r="NWQ169" s="1360"/>
      <c r="NWR169" s="1925"/>
      <c r="NWS169" s="955"/>
      <c r="NWT169" s="963"/>
      <c r="NWU169" s="2242"/>
      <c r="NWV169" s="1360"/>
      <c r="NWW169" s="955"/>
      <c r="NWX169" s="1361"/>
      <c r="NWY169" s="1360"/>
      <c r="NWZ169" s="1925"/>
      <c r="NXA169" s="955"/>
      <c r="NXB169" s="963"/>
      <c r="NXC169" s="2242"/>
      <c r="NXD169" s="1360"/>
      <c r="NXE169" s="955"/>
      <c r="NXF169" s="1361"/>
      <c r="NXG169" s="1360"/>
      <c r="NXH169" s="1925"/>
      <c r="NXI169" s="955"/>
      <c r="NXJ169" s="963"/>
      <c r="NXK169" s="2242"/>
      <c r="NXL169" s="1360"/>
      <c r="NXM169" s="955"/>
      <c r="NXN169" s="1361"/>
      <c r="NXO169" s="1360"/>
      <c r="NXP169" s="1925"/>
      <c r="NXQ169" s="955"/>
      <c r="NXR169" s="963"/>
      <c r="NXS169" s="2242"/>
      <c r="NXT169" s="1360"/>
      <c r="NXU169" s="955"/>
      <c r="NXV169" s="1361"/>
      <c r="NXW169" s="1360"/>
      <c r="NXX169" s="1925"/>
      <c r="NXY169" s="955"/>
      <c r="NXZ169" s="963"/>
      <c r="NYA169" s="2242"/>
      <c r="NYB169" s="1360"/>
      <c r="NYC169" s="955"/>
      <c r="NYD169" s="1361"/>
      <c r="NYE169" s="1360"/>
      <c r="NYF169" s="1925"/>
      <c r="NYG169" s="955"/>
      <c r="NYH169" s="963"/>
      <c r="NYI169" s="2242"/>
      <c r="NYJ169" s="1360"/>
      <c r="NYK169" s="955"/>
      <c r="NYL169" s="1361"/>
      <c r="NYM169" s="1360"/>
      <c r="NYN169" s="1925"/>
      <c r="NYO169" s="955"/>
      <c r="NYP169" s="963"/>
      <c r="NYQ169" s="2242"/>
      <c r="NYR169" s="1360"/>
      <c r="NYS169" s="955"/>
      <c r="NYT169" s="1361"/>
      <c r="NYU169" s="1360"/>
      <c r="NYV169" s="1925"/>
      <c r="NYW169" s="955"/>
      <c r="NYX169" s="963"/>
      <c r="NYY169" s="2242"/>
      <c r="NYZ169" s="1360"/>
      <c r="NZA169" s="955"/>
      <c r="NZB169" s="1361"/>
      <c r="NZC169" s="1360"/>
      <c r="NZD169" s="1925"/>
      <c r="NZE169" s="955"/>
      <c r="NZF169" s="963"/>
      <c r="NZG169" s="2242"/>
      <c r="NZH169" s="1360"/>
      <c r="NZI169" s="955"/>
      <c r="NZJ169" s="1361"/>
      <c r="NZK169" s="1360"/>
      <c r="NZL169" s="1925"/>
      <c r="NZM169" s="955"/>
      <c r="NZN169" s="963"/>
      <c r="NZO169" s="2242"/>
      <c r="NZP169" s="1360"/>
      <c r="NZQ169" s="955"/>
      <c r="NZR169" s="1361"/>
      <c r="NZS169" s="1360"/>
      <c r="NZT169" s="1925"/>
      <c r="NZU169" s="955"/>
      <c r="NZV169" s="963"/>
      <c r="NZW169" s="2242"/>
      <c r="NZX169" s="1360"/>
      <c r="NZY169" s="955"/>
      <c r="NZZ169" s="1361"/>
      <c r="OAA169" s="1360"/>
      <c r="OAB169" s="1925"/>
      <c r="OAC169" s="955"/>
      <c r="OAD169" s="963"/>
      <c r="OAE169" s="2242"/>
      <c r="OAF169" s="1360"/>
      <c r="OAG169" s="955"/>
      <c r="OAH169" s="1361"/>
      <c r="OAI169" s="1360"/>
      <c r="OAJ169" s="1925"/>
      <c r="OAK169" s="955"/>
      <c r="OAL169" s="963"/>
      <c r="OAM169" s="2242"/>
      <c r="OAN169" s="1360"/>
      <c r="OAO169" s="955"/>
      <c r="OAP169" s="1361"/>
      <c r="OAQ169" s="1360"/>
      <c r="OAR169" s="1925"/>
      <c r="OAS169" s="955"/>
      <c r="OAT169" s="963"/>
      <c r="OAU169" s="2242"/>
      <c r="OAV169" s="1360"/>
      <c r="OAW169" s="955"/>
      <c r="OAX169" s="1361"/>
      <c r="OAY169" s="1360"/>
      <c r="OAZ169" s="1925"/>
      <c r="OBA169" s="955"/>
      <c r="OBB169" s="963"/>
      <c r="OBC169" s="2242"/>
      <c r="OBD169" s="1360"/>
      <c r="OBE169" s="955"/>
      <c r="OBF169" s="1361"/>
      <c r="OBG169" s="1360"/>
      <c r="OBH169" s="1925"/>
      <c r="OBI169" s="955"/>
      <c r="OBJ169" s="963"/>
      <c r="OBK169" s="2242"/>
      <c r="OBL169" s="1360"/>
      <c r="OBM169" s="955"/>
      <c r="OBN169" s="1361"/>
      <c r="OBO169" s="1360"/>
      <c r="OBP169" s="1925"/>
      <c r="OBQ169" s="955"/>
      <c r="OBR169" s="963"/>
      <c r="OBS169" s="2242"/>
      <c r="OBT169" s="1360"/>
      <c r="OBU169" s="955"/>
      <c r="OBV169" s="1361"/>
      <c r="OBW169" s="1360"/>
      <c r="OBX169" s="1925"/>
      <c r="OBY169" s="955"/>
      <c r="OBZ169" s="963"/>
      <c r="OCA169" s="2242"/>
      <c r="OCB169" s="1360"/>
      <c r="OCC169" s="955"/>
      <c r="OCD169" s="1361"/>
      <c r="OCE169" s="1360"/>
      <c r="OCF169" s="1925"/>
      <c r="OCG169" s="955"/>
      <c r="OCH169" s="963"/>
      <c r="OCI169" s="2242"/>
      <c r="OCJ169" s="1360"/>
      <c r="OCK169" s="955"/>
      <c r="OCL169" s="1361"/>
      <c r="OCM169" s="1360"/>
      <c r="OCN169" s="1925"/>
      <c r="OCO169" s="955"/>
      <c r="OCP169" s="963"/>
      <c r="OCQ169" s="2242"/>
      <c r="OCR169" s="1360"/>
      <c r="OCS169" s="955"/>
      <c r="OCT169" s="1361"/>
      <c r="OCU169" s="1360"/>
      <c r="OCV169" s="1925"/>
      <c r="OCW169" s="955"/>
      <c r="OCX169" s="963"/>
      <c r="OCY169" s="2242"/>
      <c r="OCZ169" s="1360"/>
      <c r="ODA169" s="955"/>
      <c r="ODB169" s="1361"/>
      <c r="ODC169" s="1360"/>
      <c r="ODD169" s="1925"/>
      <c r="ODE169" s="955"/>
      <c r="ODF169" s="963"/>
      <c r="ODG169" s="2242"/>
      <c r="ODH169" s="1360"/>
      <c r="ODI169" s="955"/>
      <c r="ODJ169" s="1361"/>
      <c r="ODK169" s="1360"/>
      <c r="ODL169" s="1925"/>
      <c r="ODM169" s="955"/>
      <c r="ODN169" s="963"/>
      <c r="ODO169" s="2242"/>
      <c r="ODP169" s="1360"/>
      <c r="ODQ169" s="955"/>
      <c r="ODR169" s="1361"/>
      <c r="ODS169" s="1360"/>
      <c r="ODT169" s="1925"/>
      <c r="ODU169" s="955"/>
      <c r="ODV169" s="963"/>
      <c r="ODW169" s="2242"/>
      <c r="ODX169" s="1360"/>
      <c r="ODY169" s="955"/>
      <c r="ODZ169" s="1361"/>
      <c r="OEA169" s="1360"/>
      <c r="OEB169" s="1925"/>
      <c r="OEC169" s="955"/>
      <c r="OED169" s="963"/>
      <c r="OEE169" s="2242"/>
      <c r="OEF169" s="1360"/>
      <c r="OEG169" s="955"/>
      <c r="OEH169" s="1361"/>
      <c r="OEI169" s="1360"/>
      <c r="OEJ169" s="1925"/>
      <c r="OEK169" s="955"/>
      <c r="OEL169" s="963"/>
      <c r="OEM169" s="2242"/>
      <c r="OEN169" s="1360"/>
      <c r="OEO169" s="955"/>
      <c r="OEP169" s="1361"/>
      <c r="OEQ169" s="1360"/>
      <c r="OER169" s="1925"/>
      <c r="OES169" s="955"/>
      <c r="OET169" s="963"/>
      <c r="OEU169" s="2242"/>
      <c r="OEV169" s="1360"/>
      <c r="OEW169" s="955"/>
      <c r="OEX169" s="1361"/>
      <c r="OEY169" s="1360"/>
      <c r="OEZ169" s="1925"/>
      <c r="OFA169" s="955"/>
      <c r="OFB169" s="963"/>
      <c r="OFC169" s="2242"/>
      <c r="OFD169" s="1360"/>
      <c r="OFE169" s="955"/>
      <c r="OFF169" s="1361"/>
      <c r="OFG169" s="1360"/>
      <c r="OFH169" s="1925"/>
      <c r="OFI169" s="955"/>
      <c r="OFJ169" s="963"/>
      <c r="OFK169" s="2242"/>
      <c r="OFL169" s="1360"/>
      <c r="OFM169" s="955"/>
      <c r="OFN169" s="1361"/>
      <c r="OFO169" s="1360"/>
      <c r="OFP169" s="1925"/>
      <c r="OFQ169" s="955"/>
      <c r="OFR169" s="963"/>
      <c r="OFS169" s="2242"/>
      <c r="OFT169" s="1360"/>
      <c r="OFU169" s="955"/>
      <c r="OFV169" s="1361"/>
      <c r="OFW169" s="1360"/>
      <c r="OFX169" s="1925"/>
      <c r="OFY169" s="955"/>
      <c r="OFZ169" s="963"/>
      <c r="OGA169" s="2242"/>
      <c r="OGB169" s="1360"/>
      <c r="OGC169" s="955"/>
      <c r="OGD169" s="1361"/>
      <c r="OGE169" s="1360"/>
      <c r="OGF169" s="1925"/>
      <c r="OGG169" s="955"/>
      <c r="OGH169" s="963"/>
      <c r="OGI169" s="2242"/>
      <c r="OGJ169" s="1360"/>
      <c r="OGK169" s="955"/>
      <c r="OGL169" s="1361"/>
      <c r="OGM169" s="1360"/>
      <c r="OGN169" s="1925"/>
      <c r="OGO169" s="955"/>
      <c r="OGP169" s="963"/>
      <c r="OGQ169" s="2242"/>
      <c r="OGR169" s="1360"/>
      <c r="OGS169" s="955"/>
      <c r="OGT169" s="1361"/>
      <c r="OGU169" s="1360"/>
      <c r="OGV169" s="1925"/>
      <c r="OGW169" s="955"/>
      <c r="OGX169" s="963"/>
      <c r="OGY169" s="2242"/>
      <c r="OGZ169" s="1360"/>
      <c r="OHA169" s="955"/>
      <c r="OHB169" s="1361"/>
      <c r="OHC169" s="1360"/>
      <c r="OHD169" s="1925"/>
      <c r="OHE169" s="955"/>
      <c r="OHF169" s="963"/>
      <c r="OHG169" s="2242"/>
      <c r="OHH169" s="1360"/>
      <c r="OHI169" s="955"/>
      <c r="OHJ169" s="1361"/>
      <c r="OHK169" s="1360"/>
      <c r="OHL169" s="1925"/>
      <c r="OHM169" s="955"/>
      <c r="OHN169" s="963"/>
      <c r="OHO169" s="2242"/>
      <c r="OHP169" s="1360"/>
      <c r="OHQ169" s="955"/>
      <c r="OHR169" s="1361"/>
      <c r="OHS169" s="1360"/>
      <c r="OHT169" s="1925"/>
      <c r="OHU169" s="955"/>
      <c r="OHV169" s="963"/>
      <c r="OHW169" s="2242"/>
      <c r="OHX169" s="1360"/>
      <c r="OHY169" s="955"/>
      <c r="OHZ169" s="1361"/>
      <c r="OIA169" s="1360"/>
      <c r="OIB169" s="1925"/>
      <c r="OIC169" s="955"/>
      <c r="OID169" s="963"/>
      <c r="OIE169" s="2242"/>
      <c r="OIF169" s="1360"/>
      <c r="OIG169" s="955"/>
      <c r="OIH169" s="1361"/>
      <c r="OII169" s="1360"/>
      <c r="OIJ169" s="1925"/>
      <c r="OIK169" s="955"/>
      <c r="OIL169" s="963"/>
      <c r="OIM169" s="2242"/>
      <c r="OIN169" s="1360"/>
      <c r="OIO169" s="955"/>
      <c r="OIP169" s="1361"/>
      <c r="OIQ169" s="1360"/>
      <c r="OIR169" s="1925"/>
      <c r="OIS169" s="955"/>
      <c r="OIT169" s="963"/>
      <c r="OIU169" s="2242"/>
      <c r="OIV169" s="1360"/>
      <c r="OIW169" s="955"/>
      <c r="OIX169" s="1361"/>
      <c r="OIY169" s="1360"/>
      <c r="OIZ169" s="1925"/>
      <c r="OJA169" s="955"/>
      <c r="OJB169" s="963"/>
      <c r="OJC169" s="2242"/>
      <c r="OJD169" s="1360"/>
      <c r="OJE169" s="955"/>
      <c r="OJF169" s="1361"/>
      <c r="OJG169" s="1360"/>
      <c r="OJH169" s="1925"/>
      <c r="OJI169" s="955"/>
      <c r="OJJ169" s="963"/>
      <c r="OJK169" s="2242"/>
      <c r="OJL169" s="1360"/>
      <c r="OJM169" s="955"/>
      <c r="OJN169" s="1361"/>
      <c r="OJO169" s="1360"/>
      <c r="OJP169" s="1925"/>
      <c r="OJQ169" s="955"/>
      <c r="OJR169" s="963"/>
      <c r="OJS169" s="2242"/>
      <c r="OJT169" s="1360"/>
      <c r="OJU169" s="955"/>
      <c r="OJV169" s="1361"/>
      <c r="OJW169" s="1360"/>
      <c r="OJX169" s="1925"/>
      <c r="OJY169" s="955"/>
      <c r="OJZ169" s="963"/>
      <c r="OKA169" s="2242"/>
      <c r="OKB169" s="1360"/>
      <c r="OKC169" s="955"/>
      <c r="OKD169" s="1361"/>
      <c r="OKE169" s="1360"/>
      <c r="OKF169" s="1925"/>
      <c r="OKG169" s="955"/>
      <c r="OKH169" s="963"/>
      <c r="OKI169" s="2242"/>
      <c r="OKJ169" s="1360"/>
      <c r="OKK169" s="955"/>
      <c r="OKL169" s="1361"/>
      <c r="OKM169" s="1360"/>
      <c r="OKN169" s="1925"/>
      <c r="OKO169" s="955"/>
      <c r="OKP169" s="963"/>
      <c r="OKQ169" s="2242"/>
      <c r="OKR169" s="1360"/>
      <c r="OKS169" s="955"/>
      <c r="OKT169" s="1361"/>
      <c r="OKU169" s="1360"/>
      <c r="OKV169" s="1925"/>
      <c r="OKW169" s="955"/>
      <c r="OKX169" s="963"/>
      <c r="OKY169" s="2242"/>
      <c r="OKZ169" s="1360"/>
      <c r="OLA169" s="955"/>
      <c r="OLB169" s="1361"/>
      <c r="OLC169" s="1360"/>
      <c r="OLD169" s="1925"/>
      <c r="OLE169" s="955"/>
      <c r="OLF169" s="963"/>
      <c r="OLG169" s="2242"/>
      <c r="OLH169" s="1360"/>
      <c r="OLI169" s="955"/>
      <c r="OLJ169" s="1361"/>
      <c r="OLK169" s="1360"/>
      <c r="OLL169" s="1925"/>
      <c r="OLM169" s="955"/>
      <c r="OLN169" s="963"/>
      <c r="OLO169" s="2242"/>
      <c r="OLP169" s="1360"/>
      <c r="OLQ169" s="955"/>
      <c r="OLR169" s="1361"/>
      <c r="OLS169" s="1360"/>
      <c r="OLT169" s="1925"/>
      <c r="OLU169" s="955"/>
      <c r="OLV169" s="963"/>
      <c r="OLW169" s="2242"/>
      <c r="OLX169" s="1360"/>
      <c r="OLY169" s="955"/>
      <c r="OLZ169" s="1361"/>
      <c r="OMA169" s="1360"/>
      <c r="OMB169" s="1925"/>
      <c r="OMC169" s="955"/>
      <c r="OMD169" s="963"/>
      <c r="OME169" s="2242"/>
      <c r="OMF169" s="1360"/>
      <c r="OMG169" s="955"/>
      <c r="OMH169" s="1361"/>
      <c r="OMI169" s="1360"/>
      <c r="OMJ169" s="1925"/>
      <c r="OMK169" s="955"/>
      <c r="OML169" s="963"/>
      <c r="OMM169" s="2242"/>
      <c r="OMN169" s="1360"/>
      <c r="OMO169" s="955"/>
      <c r="OMP169" s="1361"/>
      <c r="OMQ169" s="1360"/>
      <c r="OMR169" s="1925"/>
      <c r="OMS169" s="955"/>
      <c r="OMT169" s="963"/>
      <c r="OMU169" s="2242"/>
      <c r="OMV169" s="1360"/>
      <c r="OMW169" s="955"/>
      <c r="OMX169" s="1361"/>
      <c r="OMY169" s="1360"/>
      <c r="OMZ169" s="1925"/>
      <c r="ONA169" s="955"/>
      <c r="ONB169" s="963"/>
      <c r="ONC169" s="2242"/>
      <c r="OND169" s="1360"/>
      <c r="ONE169" s="955"/>
      <c r="ONF169" s="1361"/>
      <c r="ONG169" s="1360"/>
      <c r="ONH169" s="1925"/>
      <c r="ONI169" s="955"/>
      <c r="ONJ169" s="963"/>
      <c r="ONK169" s="2242"/>
      <c r="ONL169" s="1360"/>
      <c r="ONM169" s="955"/>
      <c r="ONN169" s="1361"/>
      <c r="ONO169" s="1360"/>
      <c r="ONP169" s="1925"/>
      <c r="ONQ169" s="955"/>
      <c r="ONR169" s="963"/>
      <c r="ONS169" s="2242"/>
      <c r="ONT169" s="1360"/>
      <c r="ONU169" s="955"/>
      <c r="ONV169" s="1361"/>
      <c r="ONW169" s="1360"/>
      <c r="ONX169" s="1925"/>
      <c r="ONY169" s="955"/>
      <c r="ONZ169" s="963"/>
      <c r="OOA169" s="2242"/>
      <c r="OOB169" s="1360"/>
      <c r="OOC169" s="955"/>
      <c r="OOD169" s="1361"/>
      <c r="OOE169" s="1360"/>
      <c r="OOF169" s="1925"/>
      <c r="OOG169" s="955"/>
      <c r="OOH169" s="963"/>
      <c r="OOI169" s="2242"/>
      <c r="OOJ169" s="1360"/>
      <c r="OOK169" s="955"/>
      <c r="OOL169" s="1361"/>
      <c r="OOM169" s="1360"/>
      <c r="OON169" s="1925"/>
      <c r="OOO169" s="955"/>
      <c r="OOP169" s="963"/>
      <c r="OOQ169" s="2242"/>
      <c r="OOR169" s="1360"/>
      <c r="OOS169" s="955"/>
      <c r="OOT169" s="1361"/>
      <c r="OOU169" s="1360"/>
      <c r="OOV169" s="1925"/>
      <c r="OOW169" s="955"/>
      <c r="OOX169" s="963"/>
      <c r="OOY169" s="2242"/>
      <c r="OOZ169" s="1360"/>
      <c r="OPA169" s="955"/>
      <c r="OPB169" s="1361"/>
      <c r="OPC169" s="1360"/>
      <c r="OPD169" s="1925"/>
      <c r="OPE169" s="955"/>
      <c r="OPF169" s="963"/>
      <c r="OPG169" s="2242"/>
      <c r="OPH169" s="1360"/>
      <c r="OPI169" s="955"/>
      <c r="OPJ169" s="1361"/>
      <c r="OPK169" s="1360"/>
      <c r="OPL169" s="1925"/>
      <c r="OPM169" s="955"/>
      <c r="OPN169" s="963"/>
      <c r="OPO169" s="2242"/>
      <c r="OPP169" s="1360"/>
      <c r="OPQ169" s="955"/>
      <c r="OPR169" s="1361"/>
      <c r="OPS169" s="1360"/>
      <c r="OPT169" s="1925"/>
      <c r="OPU169" s="955"/>
      <c r="OPV169" s="963"/>
      <c r="OPW169" s="2242"/>
      <c r="OPX169" s="1360"/>
      <c r="OPY169" s="955"/>
      <c r="OPZ169" s="1361"/>
      <c r="OQA169" s="1360"/>
      <c r="OQB169" s="1925"/>
      <c r="OQC169" s="955"/>
      <c r="OQD169" s="963"/>
      <c r="OQE169" s="2242"/>
      <c r="OQF169" s="1360"/>
      <c r="OQG169" s="955"/>
      <c r="OQH169" s="1361"/>
      <c r="OQI169" s="1360"/>
      <c r="OQJ169" s="1925"/>
      <c r="OQK169" s="955"/>
      <c r="OQL169" s="963"/>
      <c r="OQM169" s="2242"/>
      <c r="OQN169" s="1360"/>
      <c r="OQO169" s="955"/>
      <c r="OQP169" s="1361"/>
      <c r="OQQ169" s="1360"/>
      <c r="OQR169" s="1925"/>
      <c r="OQS169" s="955"/>
      <c r="OQT169" s="963"/>
      <c r="OQU169" s="2242"/>
      <c r="OQV169" s="1360"/>
      <c r="OQW169" s="955"/>
      <c r="OQX169" s="1361"/>
      <c r="OQY169" s="1360"/>
      <c r="OQZ169" s="1925"/>
      <c r="ORA169" s="955"/>
      <c r="ORB169" s="963"/>
      <c r="ORC169" s="2242"/>
      <c r="ORD169" s="1360"/>
      <c r="ORE169" s="955"/>
      <c r="ORF169" s="1361"/>
      <c r="ORG169" s="1360"/>
      <c r="ORH169" s="1925"/>
      <c r="ORI169" s="955"/>
      <c r="ORJ169" s="963"/>
      <c r="ORK169" s="2242"/>
      <c r="ORL169" s="1360"/>
      <c r="ORM169" s="955"/>
      <c r="ORN169" s="1361"/>
      <c r="ORO169" s="1360"/>
      <c r="ORP169" s="1925"/>
      <c r="ORQ169" s="955"/>
      <c r="ORR169" s="963"/>
      <c r="ORS169" s="2242"/>
      <c r="ORT169" s="1360"/>
      <c r="ORU169" s="955"/>
      <c r="ORV169" s="1361"/>
      <c r="ORW169" s="1360"/>
      <c r="ORX169" s="1925"/>
      <c r="ORY169" s="955"/>
      <c r="ORZ169" s="963"/>
      <c r="OSA169" s="2242"/>
      <c r="OSB169" s="1360"/>
      <c r="OSC169" s="955"/>
      <c r="OSD169" s="1361"/>
      <c r="OSE169" s="1360"/>
      <c r="OSF169" s="1925"/>
      <c r="OSG169" s="955"/>
      <c r="OSH169" s="963"/>
      <c r="OSI169" s="2242"/>
      <c r="OSJ169" s="1360"/>
      <c r="OSK169" s="955"/>
      <c r="OSL169" s="1361"/>
      <c r="OSM169" s="1360"/>
      <c r="OSN169" s="1925"/>
      <c r="OSO169" s="955"/>
      <c r="OSP169" s="963"/>
      <c r="OSQ169" s="2242"/>
      <c r="OSR169" s="1360"/>
      <c r="OSS169" s="955"/>
      <c r="OST169" s="1361"/>
      <c r="OSU169" s="1360"/>
      <c r="OSV169" s="1925"/>
      <c r="OSW169" s="955"/>
      <c r="OSX169" s="963"/>
      <c r="OSY169" s="2242"/>
      <c r="OSZ169" s="1360"/>
      <c r="OTA169" s="955"/>
      <c r="OTB169" s="1361"/>
      <c r="OTC169" s="1360"/>
      <c r="OTD169" s="1925"/>
      <c r="OTE169" s="955"/>
      <c r="OTF169" s="963"/>
      <c r="OTG169" s="2242"/>
      <c r="OTH169" s="1360"/>
      <c r="OTI169" s="955"/>
      <c r="OTJ169" s="1361"/>
      <c r="OTK169" s="1360"/>
      <c r="OTL169" s="1925"/>
      <c r="OTM169" s="955"/>
      <c r="OTN169" s="963"/>
      <c r="OTO169" s="2242"/>
      <c r="OTP169" s="1360"/>
      <c r="OTQ169" s="955"/>
      <c r="OTR169" s="1361"/>
      <c r="OTS169" s="1360"/>
      <c r="OTT169" s="1925"/>
      <c r="OTU169" s="955"/>
      <c r="OTV169" s="963"/>
      <c r="OTW169" s="2242"/>
      <c r="OTX169" s="1360"/>
      <c r="OTY169" s="955"/>
      <c r="OTZ169" s="1361"/>
      <c r="OUA169" s="1360"/>
      <c r="OUB169" s="1925"/>
      <c r="OUC169" s="955"/>
      <c r="OUD169" s="963"/>
      <c r="OUE169" s="2242"/>
      <c r="OUF169" s="1360"/>
      <c r="OUG169" s="955"/>
      <c r="OUH169" s="1361"/>
      <c r="OUI169" s="1360"/>
      <c r="OUJ169" s="1925"/>
      <c r="OUK169" s="955"/>
      <c r="OUL169" s="963"/>
      <c r="OUM169" s="2242"/>
      <c r="OUN169" s="1360"/>
      <c r="OUO169" s="955"/>
      <c r="OUP169" s="1361"/>
      <c r="OUQ169" s="1360"/>
      <c r="OUR169" s="1925"/>
      <c r="OUS169" s="955"/>
      <c r="OUT169" s="963"/>
      <c r="OUU169" s="2242"/>
      <c r="OUV169" s="1360"/>
      <c r="OUW169" s="955"/>
      <c r="OUX169" s="1361"/>
      <c r="OUY169" s="1360"/>
      <c r="OUZ169" s="1925"/>
      <c r="OVA169" s="955"/>
      <c r="OVB169" s="963"/>
      <c r="OVC169" s="2242"/>
      <c r="OVD169" s="1360"/>
      <c r="OVE169" s="955"/>
      <c r="OVF169" s="1361"/>
      <c r="OVG169" s="1360"/>
      <c r="OVH169" s="1925"/>
      <c r="OVI169" s="955"/>
      <c r="OVJ169" s="963"/>
      <c r="OVK169" s="2242"/>
      <c r="OVL169" s="1360"/>
      <c r="OVM169" s="955"/>
      <c r="OVN169" s="1361"/>
      <c r="OVO169" s="1360"/>
      <c r="OVP169" s="1925"/>
      <c r="OVQ169" s="955"/>
      <c r="OVR169" s="963"/>
      <c r="OVS169" s="2242"/>
      <c r="OVT169" s="1360"/>
      <c r="OVU169" s="955"/>
      <c r="OVV169" s="1361"/>
      <c r="OVW169" s="1360"/>
      <c r="OVX169" s="1925"/>
      <c r="OVY169" s="955"/>
      <c r="OVZ169" s="963"/>
      <c r="OWA169" s="2242"/>
      <c r="OWB169" s="1360"/>
      <c r="OWC169" s="955"/>
      <c r="OWD169" s="1361"/>
      <c r="OWE169" s="1360"/>
      <c r="OWF169" s="1925"/>
      <c r="OWG169" s="955"/>
      <c r="OWH169" s="963"/>
      <c r="OWI169" s="2242"/>
      <c r="OWJ169" s="1360"/>
      <c r="OWK169" s="955"/>
      <c r="OWL169" s="1361"/>
      <c r="OWM169" s="1360"/>
      <c r="OWN169" s="1925"/>
      <c r="OWO169" s="955"/>
      <c r="OWP169" s="963"/>
      <c r="OWQ169" s="2242"/>
      <c r="OWR169" s="1360"/>
      <c r="OWS169" s="955"/>
      <c r="OWT169" s="1361"/>
      <c r="OWU169" s="1360"/>
      <c r="OWV169" s="1925"/>
      <c r="OWW169" s="955"/>
      <c r="OWX169" s="963"/>
      <c r="OWY169" s="2242"/>
      <c r="OWZ169" s="1360"/>
      <c r="OXA169" s="955"/>
      <c r="OXB169" s="1361"/>
      <c r="OXC169" s="1360"/>
      <c r="OXD169" s="1925"/>
      <c r="OXE169" s="955"/>
      <c r="OXF169" s="963"/>
      <c r="OXG169" s="2242"/>
      <c r="OXH169" s="1360"/>
      <c r="OXI169" s="955"/>
      <c r="OXJ169" s="1361"/>
      <c r="OXK169" s="1360"/>
      <c r="OXL169" s="1925"/>
      <c r="OXM169" s="955"/>
      <c r="OXN169" s="963"/>
      <c r="OXO169" s="2242"/>
      <c r="OXP169" s="1360"/>
      <c r="OXQ169" s="955"/>
      <c r="OXR169" s="1361"/>
      <c r="OXS169" s="1360"/>
      <c r="OXT169" s="1925"/>
      <c r="OXU169" s="955"/>
      <c r="OXV169" s="963"/>
      <c r="OXW169" s="2242"/>
      <c r="OXX169" s="1360"/>
      <c r="OXY169" s="955"/>
      <c r="OXZ169" s="1361"/>
      <c r="OYA169" s="1360"/>
      <c r="OYB169" s="1925"/>
      <c r="OYC169" s="955"/>
      <c r="OYD169" s="963"/>
      <c r="OYE169" s="2242"/>
      <c r="OYF169" s="1360"/>
      <c r="OYG169" s="955"/>
      <c r="OYH169" s="1361"/>
      <c r="OYI169" s="1360"/>
      <c r="OYJ169" s="1925"/>
      <c r="OYK169" s="955"/>
      <c r="OYL169" s="963"/>
      <c r="OYM169" s="2242"/>
      <c r="OYN169" s="1360"/>
      <c r="OYO169" s="955"/>
      <c r="OYP169" s="1361"/>
      <c r="OYQ169" s="1360"/>
      <c r="OYR169" s="1925"/>
      <c r="OYS169" s="955"/>
      <c r="OYT169" s="963"/>
      <c r="OYU169" s="2242"/>
      <c r="OYV169" s="1360"/>
      <c r="OYW169" s="955"/>
      <c r="OYX169" s="1361"/>
      <c r="OYY169" s="1360"/>
      <c r="OYZ169" s="1925"/>
      <c r="OZA169" s="955"/>
      <c r="OZB169" s="963"/>
      <c r="OZC169" s="2242"/>
      <c r="OZD169" s="1360"/>
      <c r="OZE169" s="955"/>
      <c r="OZF169" s="1361"/>
      <c r="OZG169" s="1360"/>
      <c r="OZH169" s="1925"/>
      <c r="OZI169" s="955"/>
      <c r="OZJ169" s="963"/>
      <c r="OZK169" s="2242"/>
      <c r="OZL169" s="1360"/>
      <c r="OZM169" s="955"/>
      <c r="OZN169" s="1361"/>
      <c r="OZO169" s="1360"/>
      <c r="OZP169" s="1925"/>
      <c r="OZQ169" s="955"/>
      <c r="OZR169" s="963"/>
      <c r="OZS169" s="2242"/>
      <c r="OZT169" s="1360"/>
      <c r="OZU169" s="955"/>
      <c r="OZV169" s="1361"/>
      <c r="OZW169" s="1360"/>
      <c r="OZX169" s="1925"/>
      <c r="OZY169" s="955"/>
      <c r="OZZ169" s="963"/>
      <c r="PAA169" s="2242"/>
      <c r="PAB169" s="1360"/>
      <c r="PAC169" s="955"/>
      <c r="PAD169" s="1361"/>
      <c r="PAE169" s="1360"/>
      <c r="PAF169" s="1925"/>
      <c r="PAG169" s="955"/>
      <c r="PAH169" s="963"/>
      <c r="PAI169" s="2242"/>
      <c r="PAJ169" s="1360"/>
      <c r="PAK169" s="955"/>
      <c r="PAL169" s="1361"/>
      <c r="PAM169" s="1360"/>
      <c r="PAN169" s="1925"/>
      <c r="PAO169" s="955"/>
      <c r="PAP169" s="963"/>
      <c r="PAQ169" s="2242"/>
      <c r="PAR169" s="1360"/>
      <c r="PAS169" s="955"/>
      <c r="PAT169" s="1361"/>
      <c r="PAU169" s="1360"/>
      <c r="PAV169" s="1925"/>
      <c r="PAW169" s="955"/>
      <c r="PAX169" s="963"/>
      <c r="PAY169" s="2242"/>
      <c r="PAZ169" s="1360"/>
      <c r="PBA169" s="955"/>
      <c r="PBB169" s="1361"/>
      <c r="PBC169" s="1360"/>
      <c r="PBD169" s="1925"/>
      <c r="PBE169" s="955"/>
      <c r="PBF169" s="963"/>
      <c r="PBG169" s="2242"/>
      <c r="PBH169" s="1360"/>
      <c r="PBI169" s="955"/>
      <c r="PBJ169" s="1361"/>
      <c r="PBK169" s="1360"/>
      <c r="PBL169" s="1925"/>
      <c r="PBM169" s="955"/>
      <c r="PBN169" s="963"/>
      <c r="PBO169" s="2242"/>
      <c r="PBP169" s="1360"/>
      <c r="PBQ169" s="955"/>
      <c r="PBR169" s="1361"/>
      <c r="PBS169" s="1360"/>
      <c r="PBT169" s="1925"/>
      <c r="PBU169" s="955"/>
      <c r="PBV169" s="963"/>
      <c r="PBW169" s="2242"/>
      <c r="PBX169" s="1360"/>
      <c r="PBY169" s="955"/>
      <c r="PBZ169" s="1361"/>
      <c r="PCA169" s="1360"/>
      <c r="PCB169" s="1925"/>
      <c r="PCC169" s="955"/>
      <c r="PCD169" s="963"/>
      <c r="PCE169" s="2242"/>
      <c r="PCF169" s="1360"/>
      <c r="PCG169" s="955"/>
      <c r="PCH169" s="1361"/>
      <c r="PCI169" s="1360"/>
      <c r="PCJ169" s="1925"/>
      <c r="PCK169" s="955"/>
      <c r="PCL169" s="963"/>
      <c r="PCM169" s="2242"/>
      <c r="PCN169" s="1360"/>
      <c r="PCO169" s="955"/>
      <c r="PCP169" s="1361"/>
      <c r="PCQ169" s="1360"/>
      <c r="PCR169" s="1925"/>
      <c r="PCS169" s="955"/>
      <c r="PCT169" s="963"/>
      <c r="PCU169" s="2242"/>
      <c r="PCV169" s="1360"/>
      <c r="PCW169" s="955"/>
      <c r="PCX169" s="1361"/>
      <c r="PCY169" s="1360"/>
      <c r="PCZ169" s="1925"/>
      <c r="PDA169" s="955"/>
      <c r="PDB169" s="963"/>
      <c r="PDC169" s="2242"/>
      <c r="PDD169" s="1360"/>
      <c r="PDE169" s="955"/>
      <c r="PDF169" s="1361"/>
      <c r="PDG169" s="1360"/>
      <c r="PDH169" s="1925"/>
      <c r="PDI169" s="955"/>
      <c r="PDJ169" s="963"/>
      <c r="PDK169" s="2242"/>
      <c r="PDL169" s="1360"/>
      <c r="PDM169" s="955"/>
      <c r="PDN169" s="1361"/>
      <c r="PDO169" s="1360"/>
      <c r="PDP169" s="1925"/>
      <c r="PDQ169" s="955"/>
      <c r="PDR169" s="963"/>
      <c r="PDS169" s="2242"/>
      <c r="PDT169" s="1360"/>
      <c r="PDU169" s="955"/>
      <c r="PDV169" s="1361"/>
      <c r="PDW169" s="1360"/>
      <c r="PDX169" s="1925"/>
      <c r="PDY169" s="955"/>
      <c r="PDZ169" s="963"/>
      <c r="PEA169" s="2242"/>
      <c r="PEB169" s="1360"/>
      <c r="PEC169" s="955"/>
      <c r="PED169" s="1361"/>
      <c r="PEE169" s="1360"/>
      <c r="PEF169" s="1925"/>
      <c r="PEG169" s="955"/>
      <c r="PEH169" s="963"/>
      <c r="PEI169" s="2242"/>
      <c r="PEJ169" s="1360"/>
      <c r="PEK169" s="955"/>
      <c r="PEL169" s="1361"/>
      <c r="PEM169" s="1360"/>
      <c r="PEN169" s="1925"/>
      <c r="PEO169" s="955"/>
      <c r="PEP169" s="963"/>
      <c r="PEQ169" s="2242"/>
      <c r="PER169" s="1360"/>
      <c r="PES169" s="955"/>
      <c r="PET169" s="1361"/>
      <c r="PEU169" s="1360"/>
      <c r="PEV169" s="1925"/>
      <c r="PEW169" s="955"/>
      <c r="PEX169" s="963"/>
      <c r="PEY169" s="2242"/>
      <c r="PEZ169" s="1360"/>
      <c r="PFA169" s="955"/>
      <c r="PFB169" s="1361"/>
      <c r="PFC169" s="1360"/>
      <c r="PFD169" s="1925"/>
      <c r="PFE169" s="955"/>
      <c r="PFF169" s="963"/>
      <c r="PFG169" s="2242"/>
      <c r="PFH169" s="1360"/>
      <c r="PFI169" s="955"/>
      <c r="PFJ169" s="1361"/>
      <c r="PFK169" s="1360"/>
      <c r="PFL169" s="1925"/>
      <c r="PFM169" s="955"/>
      <c r="PFN169" s="963"/>
      <c r="PFO169" s="2242"/>
      <c r="PFP169" s="1360"/>
      <c r="PFQ169" s="955"/>
      <c r="PFR169" s="1361"/>
      <c r="PFS169" s="1360"/>
      <c r="PFT169" s="1925"/>
      <c r="PFU169" s="955"/>
      <c r="PFV169" s="963"/>
      <c r="PFW169" s="2242"/>
      <c r="PFX169" s="1360"/>
      <c r="PFY169" s="955"/>
      <c r="PFZ169" s="1361"/>
      <c r="PGA169" s="1360"/>
      <c r="PGB169" s="1925"/>
      <c r="PGC169" s="955"/>
      <c r="PGD169" s="963"/>
      <c r="PGE169" s="2242"/>
      <c r="PGF169" s="1360"/>
      <c r="PGG169" s="955"/>
      <c r="PGH169" s="1361"/>
      <c r="PGI169" s="1360"/>
      <c r="PGJ169" s="1925"/>
      <c r="PGK169" s="955"/>
      <c r="PGL169" s="963"/>
      <c r="PGM169" s="2242"/>
      <c r="PGN169" s="1360"/>
      <c r="PGO169" s="955"/>
      <c r="PGP169" s="1361"/>
      <c r="PGQ169" s="1360"/>
      <c r="PGR169" s="1925"/>
      <c r="PGS169" s="955"/>
      <c r="PGT169" s="963"/>
      <c r="PGU169" s="2242"/>
      <c r="PGV169" s="1360"/>
      <c r="PGW169" s="955"/>
      <c r="PGX169" s="1361"/>
      <c r="PGY169" s="1360"/>
      <c r="PGZ169" s="1925"/>
      <c r="PHA169" s="955"/>
      <c r="PHB169" s="963"/>
      <c r="PHC169" s="2242"/>
      <c r="PHD169" s="1360"/>
      <c r="PHE169" s="955"/>
      <c r="PHF169" s="1361"/>
      <c r="PHG169" s="1360"/>
      <c r="PHH169" s="1925"/>
      <c r="PHI169" s="955"/>
      <c r="PHJ169" s="963"/>
      <c r="PHK169" s="2242"/>
      <c r="PHL169" s="1360"/>
      <c r="PHM169" s="955"/>
      <c r="PHN169" s="1361"/>
      <c r="PHO169" s="1360"/>
      <c r="PHP169" s="1925"/>
      <c r="PHQ169" s="955"/>
      <c r="PHR169" s="963"/>
      <c r="PHS169" s="2242"/>
      <c r="PHT169" s="1360"/>
      <c r="PHU169" s="955"/>
      <c r="PHV169" s="1361"/>
      <c r="PHW169" s="1360"/>
      <c r="PHX169" s="1925"/>
      <c r="PHY169" s="955"/>
      <c r="PHZ169" s="963"/>
      <c r="PIA169" s="2242"/>
      <c r="PIB169" s="1360"/>
      <c r="PIC169" s="955"/>
      <c r="PID169" s="1361"/>
      <c r="PIE169" s="1360"/>
      <c r="PIF169" s="1925"/>
      <c r="PIG169" s="955"/>
      <c r="PIH169" s="963"/>
      <c r="PII169" s="2242"/>
      <c r="PIJ169" s="1360"/>
      <c r="PIK169" s="955"/>
      <c r="PIL169" s="1361"/>
      <c r="PIM169" s="1360"/>
      <c r="PIN169" s="1925"/>
      <c r="PIO169" s="955"/>
      <c r="PIP169" s="963"/>
      <c r="PIQ169" s="2242"/>
      <c r="PIR169" s="1360"/>
      <c r="PIS169" s="955"/>
      <c r="PIT169" s="1361"/>
      <c r="PIU169" s="1360"/>
      <c r="PIV169" s="1925"/>
      <c r="PIW169" s="955"/>
      <c r="PIX169" s="963"/>
      <c r="PIY169" s="2242"/>
      <c r="PIZ169" s="1360"/>
      <c r="PJA169" s="955"/>
      <c r="PJB169" s="1361"/>
      <c r="PJC169" s="1360"/>
      <c r="PJD169" s="1925"/>
      <c r="PJE169" s="955"/>
      <c r="PJF169" s="963"/>
      <c r="PJG169" s="2242"/>
      <c r="PJH169" s="1360"/>
      <c r="PJI169" s="955"/>
      <c r="PJJ169" s="1361"/>
      <c r="PJK169" s="1360"/>
      <c r="PJL169" s="1925"/>
      <c r="PJM169" s="955"/>
      <c r="PJN169" s="963"/>
      <c r="PJO169" s="2242"/>
      <c r="PJP169" s="1360"/>
      <c r="PJQ169" s="955"/>
      <c r="PJR169" s="1361"/>
      <c r="PJS169" s="1360"/>
      <c r="PJT169" s="1925"/>
      <c r="PJU169" s="955"/>
      <c r="PJV169" s="963"/>
      <c r="PJW169" s="2242"/>
      <c r="PJX169" s="1360"/>
      <c r="PJY169" s="955"/>
      <c r="PJZ169" s="1361"/>
      <c r="PKA169" s="1360"/>
      <c r="PKB169" s="1925"/>
      <c r="PKC169" s="955"/>
      <c r="PKD169" s="963"/>
      <c r="PKE169" s="2242"/>
      <c r="PKF169" s="1360"/>
      <c r="PKG169" s="955"/>
      <c r="PKH169" s="1361"/>
      <c r="PKI169" s="1360"/>
      <c r="PKJ169" s="1925"/>
      <c r="PKK169" s="955"/>
      <c r="PKL169" s="963"/>
      <c r="PKM169" s="2242"/>
      <c r="PKN169" s="1360"/>
      <c r="PKO169" s="955"/>
      <c r="PKP169" s="1361"/>
      <c r="PKQ169" s="1360"/>
      <c r="PKR169" s="1925"/>
      <c r="PKS169" s="955"/>
      <c r="PKT169" s="963"/>
      <c r="PKU169" s="2242"/>
      <c r="PKV169" s="1360"/>
      <c r="PKW169" s="955"/>
      <c r="PKX169" s="1361"/>
      <c r="PKY169" s="1360"/>
      <c r="PKZ169" s="1925"/>
      <c r="PLA169" s="955"/>
      <c r="PLB169" s="963"/>
      <c r="PLC169" s="2242"/>
      <c r="PLD169" s="1360"/>
      <c r="PLE169" s="955"/>
      <c r="PLF169" s="1361"/>
      <c r="PLG169" s="1360"/>
      <c r="PLH169" s="1925"/>
      <c r="PLI169" s="955"/>
      <c r="PLJ169" s="963"/>
      <c r="PLK169" s="2242"/>
      <c r="PLL169" s="1360"/>
      <c r="PLM169" s="955"/>
      <c r="PLN169" s="1361"/>
      <c r="PLO169" s="1360"/>
      <c r="PLP169" s="1925"/>
      <c r="PLQ169" s="955"/>
      <c r="PLR169" s="963"/>
      <c r="PLS169" s="2242"/>
      <c r="PLT169" s="1360"/>
      <c r="PLU169" s="955"/>
      <c r="PLV169" s="1361"/>
      <c r="PLW169" s="1360"/>
      <c r="PLX169" s="1925"/>
      <c r="PLY169" s="955"/>
      <c r="PLZ169" s="963"/>
      <c r="PMA169" s="2242"/>
      <c r="PMB169" s="1360"/>
      <c r="PMC169" s="955"/>
      <c r="PMD169" s="1361"/>
      <c r="PME169" s="1360"/>
      <c r="PMF169" s="1925"/>
      <c r="PMG169" s="955"/>
      <c r="PMH169" s="963"/>
      <c r="PMI169" s="2242"/>
      <c r="PMJ169" s="1360"/>
      <c r="PMK169" s="955"/>
      <c r="PML169" s="1361"/>
      <c r="PMM169" s="1360"/>
      <c r="PMN169" s="1925"/>
      <c r="PMO169" s="955"/>
      <c r="PMP169" s="963"/>
      <c r="PMQ169" s="2242"/>
      <c r="PMR169" s="1360"/>
      <c r="PMS169" s="955"/>
      <c r="PMT169" s="1361"/>
      <c r="PMU169" s="1360"/>
      <c r="PMV169" s="1925"/>
      <c r="PMW169" s="955"/>
      <c r="PMX169" s="963"/>
      <c r="PMY169" s="2242"/>
      <c r="PMZ169" s="1360"/>
      <c r="PNA169" s="955"/>
      <c r="PNB169" s="1361"/>
      <c r="PNC169" s="1360"/>
      <c r="PND169" s="1925"/>
      <c r="PNE169" s="955"/>
      <c r="PNF169" s="963"/>
      <c r="PNG169" s="2242"/>
      <c r="PNH169" s="1360"/>
      <c r="PNI169" s="955"/>
      <c r="PNJ169" s="1361"/>
      <c r="PNK169" s="1360"/>
      <c r="PNL169" s="1925"/>
      <c r="PNM169" s="955"/>
      <c r="PNN169" s="963"/>
      <c r="PNO169" s="2242"/>
      <c r="PNP169" s="1360"/>
      <c r="PNQ169" s="955"/>
      <c r="PNR169" s="1361"/>
      <c r="PNS169" s="1360"/>
      <c r="PNT169" s="1925"/>
      <c r="PNU169" s="955"/>
      <c r="PNV169" s="963"/>
      <c r="PNW169" s="2242"/>
      <c r="PNX169" s="1360"/>
      <c r="PNY169" s="955"/>
      <c r="PNZ169" s="1361"/>
      <c r="POA169" s="1360"/>
      <c r="POB169" s="1925"/>
      <c r="POC169" s="955"/>
      <c r="POD169" s="963"/>
      <c r="POE169" s="2242"/>
      <c r="POF169" s="1360"/>
      <c r="POG169" s="955"/>
      <c r="POH169" s="1361"/>
      <c r="POI169" s="1360"/>
      <c r="POJ169" s="1925"/>
      <c r="POK169" s="955"/>
      <c r="POL169" s="963"/>
      <c r="POM169" s="2242"/>
      <c r="PON169" s="1360"/>
      <c r="POO169" s="955"/>
      <c r="POP169" s="1361"/>
      <c r="POQ169" s="1360"/>
      <c r="POR169" s="1925"/>
      <c r="POS169" s="955"/>
      <c r="POT169" s="963"/>
      <c r="POU169" s="2242"/>
      <c r="POV169" s="1360"/>
      <c r="POW169" s="955"/>
      <c r="POX169" s="1361"/>
      <c r="POY169" s="1360"/>
      <c r="POZ169" s="1925"/>
      <c r="PPA169" s="955"/>
      <c r="PPB169" s="963"/>
      <c r="PPC169" s="2242"/>
      <c r="PPD169" s="1360"/>
      <c r="PPE169" s="955"/>
      <c r="PPF169" s="1361"/>
      <c r="PPG169" s="1360"/>
      <c r="PPH169" s="1925"/>
      <c r="PPI169" s="955"/>
      <c r="PPJ169" s="963"/>
      <c r="PPK169" s="2242"/>
      <c r="PPL169" s="1360"/>
      <c r="PPM169" s="955"/>
      <c r="PPN169" s="1361"/>
      <c r="PPO169" s="1360"/>
      <c r="PPP169" s="1925"/>
      <c r="PPQ169" s="955"/>
      <c r="PPR169" s="963"/>
      <c r="PPS169" s="2242"/>
      <c r="PPT169" s="1360"/>
      <c r="PPU169" s="955"/>
      <c r="PPV169" s="1361"/>
      <c r="PPW169" s="1360"/>
      <c r="PPX169" s="1925"/>
      <c r="PPY169" s="955"/>
      <c r="PPZ169" s="963"/>
      <c r="PQA169" s="2242"/>
      <c r="PQB169" s="1360"/>
      <c r="PQC169" s="955"/>
      <c r="PQD169" s="1361"/>
      <c r="PQE169" s="1360"/>
      <c r="PQF169" s="1925"/>
      <c r="PQG169" s="955"/>
      <c r="PQH169" s="963"/>
      <c r="PQI169" s="2242"/>
      <c r="PQJ169" s="1360"/>
      <c r="PQK169" s="955"/>
      <c r="PQL169" s="1361"/>
      <c r="PQM169" s="1360"/>
      <c r="PQN169" s="1925"/>
      <c r="PQO169" s="955"/>
      <c r="PQP169" s="963"/>
      <c r="PQQ169" s="2242"/>
      <c r="PQR169" s="1360"/>
      <c r="PQS169" s="955"/>
      <c r="PQT169" s="1361"/>
      <c r="PQU169" s="1360"/>
      <c r="PQV169" s="1925"/>
      <c r="PQW169" s="955"/>
      <c r="PQX169" s="963"/>
      <c r="PQY169" s="2242"/>
      <c r="PQZ169" s="1360"/>
      <c r="PRA169" s="955"/>
      <c r="PRB169" s="1361"/>
      <c r="PRC169" s="1360"/>
      <c r="PRD169" s="1925"/>
      <c r="PRE169" s="955"/>
      <c r="PRF169" s="963"/>
      <c r="PRG169" s="2242"/>
      <c r="PRH169" s="1360"/>
      <c r="PRI169" s="955"/>
      <c r="PRJ169" s="1361"/>
      <c r="PRK169" s="1360"/>
      <c r="PRL169" s="1925"/>
      <c r="PRM169" s="955"/>
      <c r="PRN169" s="963"/>
      <c r="PRO169" s="2242"/>
      <c r="PRP169" s="1360"/>
      <c r="PRQ169" s="955"/>
      <c r="PRR169" s="1361"/>
      <c r="PRS169" s="1360"/>
      <c r="PRT169" s="1925"/>
      <c r="PRU169" s="955"/>
      <c r="PRV169" s="963"/>
      <c r="PRW169" s="2242"/>
      <c r="PRX169" s="1360"/>
      <c r="PRY169" s="955"/>
      <c r="PRZ169" s="1361"/>
      <c r="PSA169" s="1360"/>
      <c r="PSB169" s="1925"/>
      <c r="PSC169" s="955"/>
      <c r="PSD169" s="963"/>
      <c r="PSE169" s="2242"/>
      <c r="PSF169" s="1360"/>
      <c r="PSG169" s="955"/>
      <c r="PSH169" s="1361"/>
      <c r="PSI169" s="1360"/>
      <c r="PSJ169" s="1925"/>
      <c r="PSK169" s="955"/>
      <c r="PSL169" s="963"/>
      <c r="PSM169" s="2242"/>
      <c r="PSN169" s="1360"/>
      <c r="PSO169" s="955"/>
      <c r="PSP169" s="1361"/>
      <c r="PSQ169" s="1360"/>
      <c r="PSR169" s="1925"/>
      <c r="PSS169" s="955"/>
      <c r="PST169" s="963"/>
      <c r="PSU169" s="2242"/>
      <c r="PSV169" s="1360"/>
      <c r="PSW169" s="955"/>
      <c r="PSX169" s="1361"/>
      <c r="PSY169" s="1360"/>
      <c r="PSZ169" s="1925"/>
      <c r="PTA169" s="955"/>
      <c r="PTB169" s="963"/>
      <c r="PTC169" s="2242"/>
      <c r="PTD169" s="1360"/>
      <c r="PTE169" s="955"/>
      <c r="PTF169" s="1361"/>
      <c r="PTG169" s="1360"/>
      <c r="PTH169" s="1925"/>
      <c r="PTI169" s="955"/>
      <c r="PTJ169" s="963"/>
      <c r="PTK169" s="2242"/>
      <c r="PTL169" s="1360"/>
      <c r="PTM169" s="955"/>
      <c r="PTN169" s="1361"/>
      <c r="PTO169" s="1360"/>
      <c r="PTP169" s="1925"/>
      <c r="PTQ169" s="955"/>
      <c r="PTR169" s="963"/>
      <c r="PTS169" s="2242"/>
      <c r="PTT169" s="1360"/>
      <c r="PTU169" s="955"/>
      <c r="PTV169" s="1361"/>
      <c r="PTW169" s="1360"/>
      <c r="PTX169" s="1925"/>
      <c r="PTY169" s="955"/>
      <c r="PTZ169" s="963"/>
      <c r="PUA169" s="2242"/>
      <c r="PUB169" s="1360"/>
      <c r="PUC169" s="955"/>
      <c r="PUD169" s="1361"/>
      <c r="PUE169" s="1360"/>
      <c r="PUF169" s="1925"/>
      <c r="PUG169" s="955"/>
      <c r="PUH169" s="963"/>
      <c r="PUI169" s="2242"/>
      <c r="PUJ169" s="1360"/>
      <c r="PUK169" s="955"/>
      <c r="PUL169" s="1361"/>
      <c r="PUM169" s="1360"/>
      <c r="PUN169" s="1925"/>
      <c r="PUO169" s="955"/>
      <c r="PUP169" s="963"/>
      <c r="PUQ169" s="2242"/>
      <c r="PUR169" s="1360"/>
      <c r="PUS169" s="955"/>
      <c r="PUT169" s="1361"/>
      <c r="PUU169" s="1360"/>
      <c r="PUV169" s="1925"/>
      <c r="PUW169" s="955"/>
      <c r="PUX169" s="963"/>
      <c r="PUY169" s="2242"/>
      <c r="PUZ169" s="1360"/>
      <c r="PVA169" s="955"/>
      <c r="PVB169" s="1361"/>
      <c r="PVC169" s="1360"/>
      <c r="PVD169" s="1925"/>
      <c r="PVE169" s="955"/>
      <c r="PVF169" s="963"/>
      <c r="PVG169" s="2242"/>
      <c r="PVH169" s="1360"/>
      <c r="PVI169" s="955"/>
      <c r="PVJ169" s="1361"/>
      <c r="PVK169" s="1360"/>
      <c r="PVL169" s="1925"/>
      <c r="PVM169" s="955"/>
      <c r="PVN169" s="963"/>
      <c r="PVO169" s="2242"/>
      <c r="PVP169" s="1360"/>
      <c r="PVQ169" s="955"/>
      <c r="PVR169" s="1361"/>
      <c r="PVS169" s="1360"/>
      <c r="PVT169" s="1925"/>
      <c r="PVU169" s="955"/>
      <c r="PVV169" s="963"/>
      <c r="PVW169" s="2242"/>
      <c r="PVX169" s="1360"/>
      <c r="PVY169" s="955"/>
      <c r="PVZ169" s="1361"/>
      <c r="PWA169" s="1360"/>
      <c r="PWB169" s="1925"/>
      <c r="PWC169" s="955"/>
      <c r="PWD169" s="963"/>
      <c r="PWE169" s="2242"/>
      <c r="PWF169" s="1360"/>
      <c r="PWG169" s="955"/>
      <c r="PWH169" s="1361"/>
      <c r="PWI169" s="1360"/>
      <c r="PWJ169" s="1925"/>
      <c r="PWK169" s="955"/>
      <c r="PWL169" s="963"/>
      <c r="PWM169" s="2242"/>
      <c r="PWN169" s="1360"/>
      <c r="PWO169" s="955"/>
      <c r="PWP169" s="1361"/>
      <c r="PWQ169" s="1360"/>
      <c r="PWR169" s="1925"/>
      <c r="PWS169" s="955"/>
      <c r="PWT169" s="963"/>
      <c r="PWU169" s="2242"/>
      <c r="PWV169" s="1360"/>
      <c r="PWW169" s="955"/>
      <c r="PWX169" s="1361"/>
      <c r="PWY169" s="1360"/>
      <c r="PWZ169" s="1925"/>
      <c r="PXA169" s="955"/>
      <c r="PXB169" s="963"/>
      <c r="PXC169" s="2242"/>
      <c r="PXD169" s="1360"/>
      <c r="PXE169" s="955"/>
      <c r="PXF169" s="1361"/>
      <c r="PXG169" s="1360"/>
      <c r="PXH169" s="1925"/>
      <c r="PXI169" s="955"/>
      <c r="PXJ169" s="963"/>
      <c r="PXK169" s="2242"/>
      <c r="PXL169" s="1360"/>
      <c r="PXM169" s="955"/>
      <c r="PXN169" s="1361"/>
      <c r="PXO169" s="1360"/>
      <c r="PXP169" s="1925"/>
      <c r="PXQ169" s="955"/>
      <c r="PXR169" s="963"/>
      <c r="PXS169" s="2242"/>
      <c r="PXT169" s="1360"/>
      <c r="PXU169" s="955"/>
      <c r="PXV169" s="1361"/>
      <c r="PXW169" s="1360"/>
      <c r="PXX169" s="1925"/>
      <c r="PXY169" s="955"/>
      <c r="PXZ169" s="963"/>
      <c r="PYA169" s="2242"/>
      <c r="PYB169" s="1360"/>
      <c r="PYC169" s="955"/>
      <c r="PYD169" s="1361"/>
      <c r="PYE169" s="1360"/>
      <c r="PYF169" s="1925"/>
      <c r="PYG169" s="955"/>
      <c r="PYH169" s="963"/>
      <c r="PYI169" s="2242"/>
      <c r="PYJ169" s="1360"/>
      <c r="PYK169" s="955"/>
      <c r="PYL169" s="1361"/>
      <c r="PYM169" s="1360"/>
      <c r="PYN169" s="1925"/>
      <c r="PYO169" s="955"/>
      <c r="PYP169" s="963"/>
      <c r="PYQ169" s="2242"/>
      <c r="PYR169" s="1360"/>
      <c r="PYS169" s="955"/>
      <c r="PYT169" s="1361"/>
      <c r="PYU169" s="1360"/>
      <c r="PYV169" s="1925"/>
      <c r="PYW169" s="955"/>
      <c r="PYX169" s="963"/>
      <c r="PYY169" s="2242"/>
      <c r="PYZ169" s="1360"/>
      <c r="PZA169" s="955"/>
      <c r="PZB169" s="1361"/>
      <c r="PZC169" s="1360"/>
      <c r="PZD169" s="1925"/>
      <c r="PZE169" s="955"/>
      <c r="PZF169" s="963"/>
      <c r="PZG169" s="2242"/>
      <c r="PZH169" s="1360"/>
      <c r="PZI169" s="955"/>
      <c r="PZJ169" s="1361"/>
      <c r="PZK169" s="1360"/>
      <c r="PZL169" s="1925"/>
      <c r="PZM169" s="955"/>
      <c r="PZN169" s="963"/>
      <c r="PZO169" s="2242"/>
      <c r="PZP169" s="1360"/>
      <c r="PZQ169" s="955"/>
      <c r="PZR169" s="1361"/>
      <c r="PZS169" s="1360"/>
      <c r="PZT169" s="1925"/>
      <c r="PZU169" s="955"/>
      <c r="PZV169" s="963"/>
      <c r="PZW169" s="2242"/>
      <c r="PZX169" s="1360"/>
      <c r="PZY169" s="955"/>
      <c r="PZZ169" s="1361"/>
      <c r="QAA169" s="1360"/>
      <c r="QAB169" s="1925"/>
      <c r="QAC169" s="955"/>
      <c r="QAD169" s="963"/>
      <c r="QAE169" s="2242"/>
      <c r="QAF169" s="1360"/>
      <c r="QAG169" s="955"/>
      <c r="QAH169" s="1361"/>
      <c r="QAI169" s="1360"/>
      <c r="QAJ169" s="1925"/>
      <c r="QAK169" s="955"/>
      <c r="QAL169" s="963"/>
      <c r="QAM169" s="2242"/>
      <c r="QAN169" s="1360"/>
      <c r="QAO169" s="955"/>
      <c r="QAP169" s="1361"/>
      <c r="QAQ169" s="1360"/>
      <c r="QAR169" s="1925"/>
      <c r="QAS169" s="955"/>
      <c r="QAT169" s="963"/>
      <c r="QAU169" s="2242"/>
      <c r="QAV169" s="1360"/>
      <c r="QAW169" s="955"/>
      <c r="QAX169" s="1361"/>
      <c r="QAY169" s="1360"/>
      <c r="QAZ169" s="1925"/>
      <c r="QBA169" s="955"/>
      <c r="QBB169" s="963"/>
      <c r="QBC169" s="2242"/>
      <c r="QBD169" s="1360"/>
      <c r="QBE169" s="955"/>
      <c r="QBF169" s="1361"/>
      <c r="QBG169" s="1360"/>
      <c r="QBH169" s="1925"/>
      <c r="QBI169" s="955"/>
      <c r="QBJ169" s="963"/>
      <c r="QBK169" s="2242"/>
      <c r="QBL169" s="1360"/>
      <c r="QBM169" s="955"/>
      <c r="QBN169" s="1361"/>
      <c r="QBO169" s="1360"/>
      <c r="QBP169" s="1925"/>
      <c r="QBQ169" s="955"/>
      <c r="QBR169" s="963"/>
      <c r="QBS169" s="2242"/>
      <c r="QBT169" s="1360"/>
      <c r="QBU169" s="955"/>
      <c r="QBV169" s="1361"/>
      <c r="QBW169" s="1360"/>
      <c r="QBX169" s="1925"/>
      <c r="QBY169" s="955"/>
      <c r="QBZ169" s="963"/>
      <c r="QCA169" s="2242"/>
      <c r="QCB169" s="1360"/>
      <c r="QCC169" s="955"/>
      <c r="QCD169" s="1361"/>
      <c r="QCE169" s="1360"/>
      <c r="QCF169" s="1925"/>
      <c r="QCG169" s="955"/>
      <c r="QCH169" s="963"/>
      <c r="QCI169" s="2242"/>
      <c r="QCJ169" s="1360"/>
      <c r="QCK169" s="955"/>
      <c r="QCL169" s="1361"/>
      <c r="QCM169" s="1360"/>
      <c r="QCN169" s="1925"/>
      <c r="QCO169" s="955"/>
      <c r="QCP169" s="963"/>
      <c r="QCQ169" s="2242"/>
      <c r="QCR169" s="1360"/>
      <c r="QCS169" s="955"/>
      <c r="QCT169" s="1361"/>
      <c r="QCU169" s="1360"/>
      <c r="QCV169" s="1925"/>
      <c r="QCW169" s="955"/>
      <c r="QCX169" s="963"/>
      <c r="QCY169" s="2242"/>
      <c r="QCZ169" s="1360"/>
      <c r="QDA169" s="955"/>
      <c r="QDB169" s="1361"/>
      <c r="QDC169" s="1360"/>
      <c r="QDD169" s="1925"/>
      <c r="QDE169" s="955"/>
      <c r="QDF169" s="963"/>
      <c r="QDG169" s="2242"/>
      <c r="QDH169" s="1360"/>
      <c r="QDI169" s="955"/>
      <c r="QDJ169" s="1361"/>
      <c r="QDK169" s="1360"/>
      <c r="QDL169" s="1925"/>
      <c r="QDM169" s="955"/>
      <c r="QDN169" s="963"/>
      <c r="QDO169" s="2242"/>
      <c r="QDP169" s="1360"/>
      <c r="QDQ169" s="955"/>
      <c r="QDR169" s="1361"/>
      <c r="QDS169" s="1360"/>
      <c r="QDT169" s="1925"/>
      <c r="QDU169" s="955"/>
      <c r="QDV169" s="963"/>
      <c r="QDW169" s="2242"/>
      <c r="QDX169" s="1360"/>
      <c r="QDY169" s="955"/>
      <c r="QDZ169" s="1361"/>
      <c r="QEA169" s="1360"/>
      <c r="QEB169" s="1925"/>
      <c r="QEC169" s="955"/>
      <c r="QED169" s="963"/>
      <c r="QEE169" s="2242"/>
      <c r="QEF169" s="1360"/>
      <c r="QEG169" s="955"/>
      <c r="QEH169" s="1361"/>
      <c r="QEI169" s="1360"/>
      <c r="QEJ169" s="1925"/>
      <c r="QEK169" s="955"/>
      <c r="QEL169" s="963"/>
      <c r="QEM169" s="2242"/>
      <c r="QEN169" s="1360"/>
      <c r="QEO169" s="955"/>
      <c r="QEP169" s="1361"/>
      <c r="QEQ169" s="1360"/>
      <c r="QER169" s="1925"/>
      <c r="QES169" s="955"/>
      <c r="QET169" s="963"/>
      <c r="QEU169" s="2242"/>
      <c r="QEV169" s="1360"/>
      <c r="QEW169" s="955"/>
      <c r="QEX169" s="1361"/>
      <c r="QEY169" s="1360"/>
      <c r="QEZ169" s="1925"/>
      <c r="QFA169" s="955"/>
      <c r="QFB169" s="963"/>
      <c r="QFC169" s="2242"/>
      <c r="QFD169" s="1360"/>
      <c r="QFE169" s="955"/>
      <c r="QFF169" s="1361"/>
      <c r="QFG169" s="1360"/>
      <c r="QFH169" s="1925"/>
      <c r="QFI169" s="955"/>
      <c r="QFJ169" s="963"/>
      <c r="QFK169" s="2242"/>
      <c r="QFL169" s="1360"/>
      <c r="QFM169" s="955"/>
      <c r="QFN169" s="1361"/>
      <c r="QFO169" s="1360"/>
      <c r="QFP169" s="1925"/>
      <c r="QFQ169" s="955"/>
      <c r="QFR169" s="963"/>
      <c r="QFS169" s="2242"/>
      <c r="QFT169" s="1360"/>
      <c r="QFU169" s="955"/>
      <c r="QFV169" s="1361"/>
      <c r="QFW169" s="1360"/>
      <c r="QFX169" s="1925"/>
      <c r="QFY169" s="955"/>
      <c r="QFZ169" s="963"/>
      <c r="QGA169" s="2242"/>
      <c r="QGB169" s="1360"/>
      <c r="QGC169" s="955"/>
      <c r="QGD169" s="1361"/>
      <c r="QGE169" s="1360"/>
      <c r="QGF169" s="1925"/>
      <c r="QGG169" s="955"/>
      <c r="QGH169" s="963"/>
      <c r="QGI169" s="2242"/>
      <c r="QGJ169" s="1360"/>
      <c r="QGK169" s="955"/>
      <c r="QGL169" s="1361"/>
      <c r="QGM169" s="1360"/>
      <c r="QGN169" s="1925"/>
      <c r="QGO169" s="955"/>
      <c r="QGP169" s="963"/>
      <c r="QGQ169" s="2242"/>
      <c r="QGR169" s="1360"/>
      <c r="QGS169" s="955"/>
      <c r="QGT169" s="1361"/>
      <c r="QGU169" s="1360"/>
      <c r="QGV169" s="1925"/>
      <c r="QGW169" s="955"/>
      <c r="QGX169" s="963"/>
      <c r="QGY169" s="2242"/>
      <c r="QGZ169" s="1360"/>
      <c r="QHA169" s="955"/>
      <c r="QHB169" s="1361"/>
      <c r="QHC169" s="1360"/>
      <c r="QHD169" s="1925"/>
      <c r="QHE169" s="955"/>
      <c r="QHF169" s="963"/>
      <c r="QHG169" s="2242"/>
      <c r="QHH169" s="1360"/>
      <c r="QHI169" s="955"/>
      <c r="QHJ169" s="1361"/>
      <c r="QHK169" s="1360"/>
      <c r="QHL169" s="1925"/>
      <c r="QHM169" s="955"/>
      <c r="QHN169" s="963"/>
      <c r="QHO169" s="2242"/>
      <c r="QHP169" s="1360"/>
      <c r="QHQ169" s="955"/>
      <c r="QHR169" s="1361"/>
      <c r="QHS169" s="1360"/>
      <c r="QHT169" s="1925"/>
      <c r="QHU169" s="955"/>
      <c r="QHV169" s="963"/>
      <c r="QHW169" s="2242"/>
      <c r="QHX169" s="1360"/>
      <c r="QHY169" s="955"/>
      <c r="QHZ169" s="1361"/>
      <c r="QIA169" s="1360"/>
      <c r="QIB169" s="1925"/>
      <c r="QIC169" s="955"/>
      <c r="QID169" s="963"/>
      <c r="QIE169" s="2242"/>
      <c r="QIF169" s="1360"/>
      <c r="QIG169" s="955"/>
      <c r="QIH169" s="1361"/>
      <c r="QII169" s="1360"/>
      <c r="QIJ169" s="1925"/>
      <c r="QIK169" s="955"/>
      <c r="QIL169" s="963"/>
      <c r="QIM169" s="2242"/>
      <c r="QIN169" s="1360"/>
      <c r="QIO169" s="955"/>
      <c r="QIP169" s="1361"/>
      <c r="QIQ169" s="1360"/>
      <c r="QIR169" s="1925"/>
      <c r="QIS169" s="955"/>
      <c r="QIT169" s="963"/>
      <c r="QIU169" s="2242"/>
      <c r="QIV169" s="1360"/>
      <c r="QIW169" s="955"/>
      <c r="QIX169" s="1361"/>
      <c r="QIY169" s="1360"/>
      <c r="QIZ169" s="1925"/>
      <c r="QJA169" s="955"/>
      <c r="QJB169" s="963"/>
      <c r="QJC169" s="2242"/>
      <c r="QJD169" s="1360"/>
      <c r="QJE169" s="955"/>
      <c r="QJF169" s="1361"/>
      <c r="QJG169" s="1360"/>
      <c r="QJH169" s="1925"/>
      <c r="QJI169" s="955"/>
      <c r="QJJ169" s="963"/>
      <c r="QJK169" s="2242"/>
      <c r="QJL169" s="1360"/>
      <c r="QJM169" s="955"/>
      <c r="QJN169" s="1361"/>
      <c r="QJO169" s="1360"/>
      <c r="QJP169" s="1925"/>
      <c r="QJQ169" s="955"/>
      <c r="QJR169" s="963"/>
      <c r="QJS169" s="2242"/>
      <c r="QJT169" s="1360"/>
      <c r="QJU169" s="955"/>
      <c r="QJV169" s="1361"/>
      <c r="QJW169" s="1360"/>
      <c r="QJX169" s="1925"/>
      <c r="QJY169" s="955"/>
      <c r="QJZ169" s="963"/>
      <c r="QKA169" s="2242"/>
      <c r="QKB169" s="1360"/>
      <c r="QKC169" s="955"/>
      <c r="QKD169" s="1361"/>
      <c r="QKE169" s="1360"/>
      <c r="QKF169" s="1925"/>
      <c r="QKG169" s="955"/>
      <c r="QKH169" s="963"/>
      <c r="QKI169" s="2242"/>
      <c r="QKJ169" s="1360"/>
      <c r="QKK169" s="955"/>
      <c r="QKL169" s="1361"/>
      <c r="QKM169" s="1360"/>
      <c r="QKN169" s="1925"/>
      <c r="QKO169" s="955"/>
      <c r="QKP169" s="963"/>
      <c r="QKQ169" s="2242"/>
      <c r="QKR169" s="1360"/>
      <c r="QKS169" s="955"/>
      <c r="QKT169" s="1361"/>
      <c r="QKU169" s="1360"/>
      <c r="QKV169" s="1925"/>
      <c r="QKW169" s="955"/>
      <c r="QKX169" s="963"/>
      <c r="QKY169" s="2242"/>
      <c r="QKZ169" s="1360"/>
      <c r="QLA169" s="955"/>
      <c r="QLB169" s="1361"/>
      <c r="QLC169" s="1360"/>
      <c r="QLD169" s="1925"/>
      <c r="QLE169" s="955"/>
      <c r="QLF169" s="963"/>
      <c r="QLG169" s="2242"/>
      <c r="QLH169" s="1360"/>
      <c r="QLI169" s="955"/>
      <c r="QLJ169" s="1361"/>
      <c r="QLK169" s="1360"/>
      <c r="QLL169" s="1925"/>
      <c r="QLM169" s="955"/>
      <c r="QLN169" s="963"/>
      <c r="QLO169" s="2242"/>
      <c r="QLP169" s="1360"/>
      <c r="QLQ169" s="955"/>
      <c r="QLR169" s="1361"/>
      <c r="QLS169" s="1360"/>
      <c r="QLT169" s="1925"/>
      <c r="QLU169" s="955"/>
      <c r="QLV169" s="963"/>
      <c r="QLW169" s="2242"/>
      <c r="QLX169" s="1360"/>
      <c r="QLY169" s="955"/>
      <c r="QLZ169" s="1361"/>
      <c r="QMA169" s="1360"/>
      <c r="QMB169" s="1925"/>
      <c r="QMC169" s="955"/>
      <c r="QMD169" s="963"/>
      <c r="QME169" s="2242"/>
      <c r="QMF169" s="1360"/>
      <c r="QMG169" s="955"/>
      <c r="QMH169" s="1361"/>
      <c r="QMI169" s="1360"/>
      <c r="QMJ169" s="1925"/>
      <c r="QMK169" s="955"/>
      <c r="QML169" s="963"/>
      <c r="QMM169" s="2242"/>
      <c r="QMN169" s="1360"/>
      <c r="QMO169" s="955"/>
      <c r="QMP169" s="1361"/>
      <c r="QMQ169" s="1360"/>
      <c r="QMR169" s="1925"/>
      <c r="QMS169" s="955"/>
      <c r="QMT169" s="963"/>
      <c r="QMU169" s="2242"/>
      <c r="QMV169" s="1360"/>
      <c r="QMW169" s="955"/>
      <c r="QMX169" s="1361"/>
      <c r="QMY169" s="1360"/>
      <c r="QMZ169" s="1925"/>
      <c r="QNA169" s="955"/>
      <c r="QNB169" s="963"/>
      <c r="QNC169" s="2242"/>
      <c r="QND169" s="1360"/>
      <c r="QNE169" s="955"/>
      <c r="QNF169" s="1361"/>
      <c r="QNG169" s="1360"/>
      <c r="QNH169" s="1925"/>
      <c r="QNI169" s="955"/>
      <c r="QNJ169" s="963"/>
      <c r="QNK169" s="2242"/>
      <c r="QNL169" s="1360"/>
      <c r="QNM169" s="955"/>
      <c r="QNN169" s="1361"/>
      <c r="QNO169" s="1360"/>
      <c r="QNP169" s="1925"/>
      <c r="QNQ169" s="955"/>
      <c r="QNR169" s="963"/>
      <c r="QNS169" s="2242"/>
      <c r="QNT169" s="1360"/>
      <c r="QNU169" s="955"/>
      <c r="QNV169" s="1361"/>
      <c r="QNW169" s="1360"/>
      <c r="QNX169" s="1925"/>
      <c r="QNY169" s="955"/>
      <c r="QNZ169" s="963"/>
      <c r="QOA169" s="2242"/>
      <c r="QOB169" s="1360"/>
      <c r="QOC169" s="955"/>
      <c r="QOD169" s="1361"/>
      <c r="QOE169" s="1360"/>
      <c r="QOF169" s="1925"/>
      <c r="QOG169" s="955"/>
      <c r="QOH169" s="963"/>
      <c r="QOI169" s="2242"/>
      <c r="QOJ169" s="1360"/>
      <c r="QOK169" s="955"/>
      <c r="QOL169" s="1361"/>
      <c r="QOM169" s="1360"/>
      <c r="QON169" s="1925"/>
      <c r="QOO169" s="955"/>
      <c r="QOP169" s="963"/>
      <c r="QOQ169" s="2242"/>
      <c r="QOR169" s="1360"/>
      <c r="QOS169" s="955"/>
      <c r="QOT169" s="1361"/>
      <c r="QOU169" s="1360"/>
      <c r="QOV169" s="1925"/>
      <c r="QOW169" s="955"/>
      <c r="QOX169" s="963"/>
      <c r="QOY169" s="2242"/>
      <c r="QOZ169" s="1360"/>
      <c r="QPA169" s="955"/>
      <c r="QPB169" s="1361"/>
      <c r="QPC169" s="1360"/>
      <c r="QPD169" s="1925"/>
      <c r="QPE169" s="955"/>
      <c r="QPF169" s="963"/>
      <c r="QPG169" s="2242"/>
      <c r="QPH169" s="1360"/>
      <c r="QPI169" s="955"/>
      <c r="QPJ169" s="1361"/>
      <c r="QPK169" s="1360"/>
      <c r="QPL169" s="1925"/>
      <c r="QPM169" s="955"/>
      <c r="QPN169" s="963"/>
      <c r="QPO169" s="2242"/>
      <c r="QPP169" s="1360"/>
      <c r="QPQ169" s="955"/>
      <c r="QPR169" s="1361"/>
      <c r="QPS169" s="1360"/>
      <c r="QPT169" s="1925"/>
      <c r="QPU169" s="955"/>
      <c r="QPV169" s="963"/>
      <c r="QPW169" s="2242"/>
      <c r="QPX169" s="1360"/>
      <c r="QPY169" s="955"/>
      <c r="QPZ169" s="1361"/>
      <c r="QQA169" s="1360"/>
      <c r="QQB169" s="1925"/>
      <c r="QQC169" s="955"/>
      <c r="QQD169" s="963"/>
      <c r="QQE169" s="2242"/>
      <c r="QQF169" s="1360"/>
      <c r="QQG169" s="955"/>
      <c r="QQH169" s="1361"/>
      <c r="QQI169" s="1360"/>
      <c r="QQJ169" s="1925"/>
      <c r="QQK169" s="955"/>
      <c r="QQL169" s="963"/>
      <c r="QQM169" s="2242"/>
      <c r="QQN169" s="1360"/>
      <c r="QQO169" s="955"/>
      <c r="QQP169" s="1361"/>
      <c r="QQQ169" s="1360"/>
      <c r="QQR169" s="1925"/>
      <c r="QQS169" s="955"/>
      <c r="QQT169" s="963"/>
      <c r="QQU169" s="2242"/>
      <c r="QQV169" s="1360"/>
      <c r="QQW169" s="955"/>
      <c r="QQX169" s="1361"/>
      <c r="QQY169" s="1360"/>
      <c r="QQZ169" s="1925"/>
      <c r="QRA169" s="955"/>
      <c r="QRB169" s="963"/>
      <c r="QRC169" s="2242"/>
      <c r="QRD169" s="1360"/>
      <c r="QRE169" s="955"/>
      <c r="QRF169" s="1361"/>
      <c r="QRG169" s="1360"/>
      <c r="QRH169" s="1925"/>
      <c r="QRI169" s="955"/>
      <c r="QRJ169" s="963"/>
      <c r="QRK169" s="2242"/>
      <c r="QRL169" s="1360"/>
      <c r="QRM169" s="955"/>
      <c r="QRN169" s="1361"/>
      <c r="QRO169" s="1360"/>
      <c r="QRP169" s="1925"/>
      <c r="QRQ169" s="955"/>
      <c r="QRR169" s="963"/>
      <c r="QRS169" s="2242"/>
      <c r="QRT169" s="1360"/>
      <c r="QRU169" s="955"/>
      <c r="QRV169" s="1361"/>
      <c r="QRW169" s="1360"/>
      <c r="QRX169" s="1925"/>
      <c r="QRY169" s="955"/>
      <c r="QRZ169" s="963"/>
      <c r="QSA169" s="2242"/>
      <c r="QSB169" s="1360"/>
      <c r="QSC169" s="955"/>
      <c r="QSD169" s="1361"/>
      <c r="QSE169" s="1360"/>
      <c r="QSF169" s="1925"/>
      <c r="QSG169" s="955"/>
      <c r="QSH169" s="963"/>
      <c r="QSI169" s="2242"/>
      <c r="QSJ169" s="1360"/>
      <c r="QSK169" s="955"/>
      <c r="QSL169" s="1361"/>
      <c r="QSM169" s="1360"/>
      <c r="QSN169" s="1925"/>
      <c r="QSO169" s="955"/>
      <c r="QSP169" s="963"/>
      <c r="QSQ169" s="2242"/>
      <c r="QSR169" s="1360"/>
      <c r="QSS169" s="955"/>
      <c r="QST169" s="1361"/>
      <c r="QSU169" s="1360"/>
      <c r="QSV169" s="1925"/>
      <c r="QSW169" s="955"/>
      <c r="QSX169" s="963"/>
      <c r="QSY169" s="2242"/>
      <c r="QSZ169" s="1360"/>
      <c r="QTA169" s="955"/>
      <c r="QTB169" s="1361"/>
      <c r="QTC169" s="1360"/>
      <c r="QTD169" s="1925"/>
      <c r="QTE169" s="955"/>
      <c r="QTF169" s="963"/>
      <c r="QTG169" s="2242"/>
      <c r="QTH169" s="1360"/>
      <c r="QTI169" s="955"/>
      <c r="QTJ169" s="1361"/>
      <c r="QTK169" s="1360"/>
      <c r="QTL169" s="1925"/>
      <c r="QTM169" s="955"/>
      <c r="QTN169" s="963"/>
      <c r="QTO169" s="2242"/>
      <c r="QTP169" s="1360"/>
      <c r="QTQ169" s="955"/>
      <c r="QTR169" s="1361"/>
      <c r="QTS169" s="1360"/>
      <c r="QTT169" s="1925"/>
      <c r="QTU169" s="955"/>
      <c r="QTV169" s="963"/>
      <c r="QTW169" s="2242"/>
      <c r="QTX169" s="1360"/>
      <c r="QTY169" s="955"/>
      <c r="QTZ169" s="1361"/>
      <c r="QUA169" s="1360"/>
      <c r="QUB169" s="1925"/>
      <c r="QUC169" s="955"/>
      <c r="QUD169" s="963"/>
      <c r="QUE169" s="2242"/>
      <c r="QUF169" s="1360"/>
      <c r="QUG169" s="955"/>
      <c r="QUH169" s="1361"/>
      <c r="QUI169" s="1360"/>
      <c r="QUJ169" s="1925"/>
      <c r="QUK169" s="955"/>
      <c r="QUL169" s="963"/>
      <c r="QUM169" s="2242"/>
      <c r="QUN169" s="1360"/>
      <c r="QUO169" s="955"/>
      <c r="QUP169" s="1361"/>
      <c r="QUQ169" s="1360"/>
      <c r="QUR169" s="1925"/>
      <c r="QUS169" s="955"/>
      <c r="QUT169" s="963"/>
      <c r="QUU169" s="2242"/>
      <c r="QUV169" s="1360"/>
      <c r="QUW169" s="955"/>
      <c r="QUX169" s="1361"/>
      <c r="QUY169" s="1360"/>
      <c r="QUZ169" s="1925"/>
      <c r="QVA169" s="955"/>
      <c r="QVB169" s="963"/>
      <c r="QVC169" s="2242"/>
      <c r="QVD169" s="1360"/>
      <c r="QVE169" s="955"/>
      <c r="QVF169" s="1361"/>
      <c r="QVG169" s="1360"/>
      <c r="QVH169" s="1925"/>
      <c r="QVI169" s="955"/>
      <c r="QVJ169" s="963"/>
      <c r="QVK169" s="2242"/>
      <c r="QVL169" s="1360"/>
      <c r="QVM169" s="955"/>
      <c r="QVN169" s="1361"/>
      <c r="QVO169" s="1360"/>
      <c r="QVP169" s="1925"/>
      <c r="QVQ169" s="955"/>
      <c r="QVR169" s="963"/>
      <c r="QVS169" s="2242"/>
      <c r="QVT169" s="1360"/>
      <c r="QVU169" s="955"/>
      <c r="QVV169" s="1361"/>
      <c r="QVW169" s="1360"/>
      <c r="QVX169" s="1925"/>
      <c r="QVY169" s="955"/>
      <c r="QVZ169" s="963"/>
      <c r="QWA169" s="2242"/>
      <c r="QWB169" s="1360"/>
      <c r="QWC169" s="955"/>
      <c r="QWD169" s="1361"/>
      <c r="QWE169" s="1360"/>
      <c r="QWF169" s="1925"/>
      <c r="QWG169" s="955"/>
      <c r="QWH169" s="963"/>
      <c r="QWI169" s="2242"/>
      <c r="QWJ169" s="1360"/>
      <c r="QWK169" s="955"/>
      <c r="QWL169" s="1361"/>
      <c r="QWM169" s="1360"/>
      <c r="QWN169" s="1925"/>
      <c r="QWO169" s="955"/>
      <c r="QWP169" s="963"/>
      <c r="QWQ169" s="2242"/>
      <c r="QWR169" s="1360"/>
      <c r="QWS169" s="955"/>
      <c r="QWT169" s="1361"/>
      <c r="QWU169" s="1360"/>
      <c r="QWV169" s="1925"/>
      <c r="QWW169" s="955"/>
      <c r="QWX169" s="963"/>
      <c r="QWY169" s="2242"/>
      <c r="QWZ169" s="1360"/>
      <c r="QXA169" s="955"/>
      <c r="QXB169" s="1361"/>
      <c r="QXC169" s="1360"/>
      <c r="QXD169" s="1925"/>
      <c r="QXE169" s="955"/>
      <c r="QXF169" s="963"/>
      <c r="QXG169" s="2242"/>
      <c r="QXH169" s="1360"/>
      <c r="QXI169" s="955"/>
      <c r="QXJ169" s="1361"/>
      <c r="QXK169" s="1360"/>
      <c r="QXL169" s="1925"/>
      <c r="QXM169" s="955"/>
      <c r="QXN169" s="963"/>
      <c r="QXO169" s="2242"/>
      <c r="QXP169" s="1360"/>
      <c r="QXQ169" s="955"/>
      <c r="QXR169" s="1361"/>
      <c r="QXS169" s="1360"/>
      <c r="QXT169" s="1925"/>
      <c r="QXU169" s="955"/>
      <c r="QXV169" s="963"/>
      <c r="QXW169" s="2242"/>
      <c r="QXX169" s="1360"/>
      <c r="QXY169" s="955"/>
      <c r="QXZ169" s="1361"/>
      <c r="QYA169" s="1360"/>
      <c r="QYB169" s="1925"/>
      <c r="QYC169" s="955"/>
      <c r="QYD169" s="963"/>
      <c r="QYE169" s="2242"/>
      <c r="QYF169" s="1360"/>
      <c r="QYG169" s="955"/>
      <c r="QYH169" s="1361"/>
      <c r="QYI169" s="1360"/>
      <c r="QYJ169" s="1925"/>
      <c r="QYK169" s="955"/>
      <c r="QYL169" s="963"/>
      <c r="QYM169" s="2242"/>
      <c r="QYN169" s="1360"/>
      <c r="QYO169" s="955"/>
      <c r="QYP169" s="1361"/>
      <c r="QYQ169" s="1360"/>
      <c r="QYR169" s="1925"/>
      <c r="QYS169" s="955"/>
      <c r="QYT169" s="963"/>
      <c r="QYU169" s="2242"/>
      <c r="QYV169" s="1360"/>
      <c r="QYW169" s="955"/>
      <c r="QYX169" s="1361"/>
      <c r="QYY169" s="1360"/>
      <c r="QYZ169" s="1925"/>
      <c r="QZA169" s="955"/>
      <c r="QZB169" s="963"/>
      <c r="QZC169" s="2242"/>
      <c r="QZD169" s="1360"/>
      <c r="QZE169" s="955"/>
      <c r="QZF169" s="1361"/>
      <c r="QZG169" s="1360"/>
      <c r="QZH169" s="1925"/>
      <c r="QZI169" s="955"/>
      <c r="QZJ169" s="963"/>
      <c r="QZK169" s="2242"/>
      <c r="QZL169" s="1360"/>
      <c r="QZM169" s="955"/>
      <c r="QZN169" s="1361"/>
      <c r="QZO169" s="1360"/>
      <c r="QZP169" s="1925"/>
      <c r="QZQ169" s="955"/>
      <c r="QZR169" s="963"/>
      <c r="QZS169" s="2242"/>
      <c r="QZT169" s="1360"/>
      <c r="QZU169" s="955"/>
      <c r="QZV169" s="1361"/>
      <c r="QZW169" s="1360"/>
      <c r="QZX169" s="1925"/>
      <c r="QZY169" s="955"/>
      <c r="QZZ169" s="963"/>
      <c r="RAA169" s="2242"/>
      <c r="RAB169" s="1360"/>
      <c r="RAC169" s="955"/>
      <c r="RAD169" s="1361"/>
      <c r="RAE169" s="1360"/>
      <c r="RAF169" s="1925"/>
      <c r="RAG169" s="955"/>
      <c r="RAH169" s="963"/>
      <c r="RAI169" s="2242"/>
      <c r="RAJ169" s="1360"/>
      <c r="RAK169" s="955"/>
      <c r="RAL169" s="1361"/>
      <c r="RAM169" s="1360"/>
      <c r="RAN169" s="1925"/>
      <c r="RAO169" s="955"/>
      <c r="RAP169" s="963"/>
      <c r="RAQ169" s="2242"/>
      <c r="RAR169" s="1360"/>
      <c r="RAS169" s="955"/>
      <c r="RAT169" s="1361"/>
      <c r="RAU169" s="1360"/>
      <c r="RAV169" s="1925"/>
      <c r="RAW169" s="955"/>
      <c r="RAX169" s="963"/>
      <c r="RAY169" s="2242"/>
      <c r="RAZ169" s="1360"/>
      <c r="RBA169" s="955"/>
      <c r="RBB169" s="1361"/>
      <c r="RBC169" s="1360"/>
      <c r="RBD169" s="1925"/>
      <c r="RBE169" s="955"/>
      <c r="RBF169" s="963"/>
      <c r="RBG169" s="2242"/>
      <c r="RBH169" s="1360"/>
      <c r="RBI169" s="955"/>
      <c r="RBJ169" s="1361"/>
      <c r="RBK169" s="1360"/>
      <c r="RBL169" s="1925"/>
      <c r="RBM169" s="955"/>
      <c r="RBN169" s="963"/>
      <c r="RBO169" s="2242"/>
      <c r="RBP169" s="1360"/>
      <c r="RBQ169" s="955"/>
      <c r="RBR169" s="1361"/>
      <c r="RBS169" s="1360"/>
      <c r="RBT169" s="1925"/>
      <c r="RBU169" s="955"/>
      <c r="RBV169" s="963"/>
      <c r="RBW169" s="2242"/>
      <c r="RBX169" s="1360"/>
      <c r="RBY169" s="955"/>
      <c r="RBZ169" s="1361"/>
      <c r="RCA169" s="1360"/>
      <c r="RCB169" s="1925"/>
      <c r="RCC169" s="955"/>
      <c r="RCD169" s="963"/>
      <c r="RCE169" s="2242"/>
      <c r="RCF169" s="1360"/>
      <c r="RCG169" s="955"/>
      <c r="RCH169" s="1361"/>
      <c r="RCI169" s="1360"/>
      <c r="RCJ169" s="1925"/>
      <c r="RCK169" s="955"/>
      <c r="RCL169" s="963"/>
      <c r="RCM169" s="2242"/>
      <c r="RCN169" s="1360"/>
      <c r="RCO169" s="955"/>
      <c r="RCP169" s="1361"/>
      <c r="RCQ169" s="1360"/>
      <c r="RCR169" s="1925"/>
      <c r="RCS169" s="955"/>
      <c r="RCT169" s="963"/>
      <c r="RCU169" s="2242"/>
      <c r="RCV169" s="1360"/>
      <c r="RCW169" s="955"/>
      <c r="RCX169" s="1361"/>
      <c r="RCY169" s="1360"/>
      <c r="RCZ169" s="1925"/>
      <c r="RDA169" s="955"/>
      <c r="RDB169" s="963"/>
      <c r="RDC169" s="2242"/>
      <c r="RDD169" s="1360"/>
      <c r="RDE169" s="955"/>
      <c r="RDF169" s="1361"/>
      <c r="RDG169" s="1360"/>
      <c r="RDH169" s="1925"/>
      <c r="RDI169" s="955"/>
      <c r="RDJ169" s="963"/>
      <c r="RDK169" s="2242"/>
      <c r="RDL169" s="1360"/>
      <c r="RDM169" s="955"/>
      <c r="RDN169" s="1361"/>
      <c r="RDO169" s="1360"/>
      <c r="RDP169" s="1925"/>
      <c r="RDQ169" s="955"/>
      <c r="RDR169" s="963"/>
      <c r="RDS169" s="2242"/>
      <c r="RDT169" s="1360"/>
      <c r="RDU169" s="955"/>
      <c r="RDV169" s="1361"/>
      <c r="RDW169" s="1360"/>
      <c r="RDX169" s="1925"/>
      <c r="RDY169" s="955"/>
      <c r="RDZ169" s="963"/>
      <c r="REA169" s="2242"/>
      <c r="REB169" s="1360"/>
      <c r="REC169" s="955"/>
      <c r="RED169" s="1361"/>
      <c r="REE169" s="1360"/>
      <c r="REF169" s="1925"/>
      <c r="REG169" s="955"/>
      <c r="REH169" s="963"/>
      <c r="REI169" s="2242"/>
      <c r="REJ169" s="1360"/>
      <c r="REK169" s="955"/>
      <c r="REL169" s="1361"/>
      <c r="REM169" s="1360"/>
      <c r="REN169" s="1925"/>
      <c r="REO169" s="955"/>
      <c r="REP169" s="963"/>
      <c r="REQ169" s="2242"/>
      <c r="RER169" s="1360"/>
      <c r="RES169" s="955"/>
      <c r="RET169" s="1361"/>
      <c r="REU169" s="1360"/>
      <c r="REV169" s="1925"/>
      <c r="REW169" s="955"/>
      <c r="REX169" s="963"/>
      <c r="REY169" s="2242"/>
      <c r="REZ169" s="1360"/>
      <c r="RFA169" s="955"/>
      <c r="RFB169" s="1361"/>
      <c r="RFC169" s="1360"/>
      <c r="RFD169" s="1925"/>
      <c r="RFE169" s="955"/>
      <c r="RFF169" s="963"/>
      <c r="RFG169" s="2242"/>
      <c r="RFH169" s="1360"/>
      <c r="RFI169" s="955"/>
      <c r="RFJ169" s="1361"/>
      <c r="RFK169" s="1360"/>
      <c r="RFL169" s="1925"/>
      <c r="RFM169" s="955"/>
      <c r="RFN169" s="963"/>
      <c r="RFO169" s="2242"/>
      <c r="RFP169" s="1360"/>
      <c r="RFQ169" s="955"/>
      <c r="RFR169" s="1361"/>
      <c r="RFS169" s="1360"/>
      <c r="RFT169" s="1925"/>
      <c r="RFU169" s="955"/>
      <c r="RFV169" s="963"/>
      <c r="RFW169" s="2242"/>
      <c r="RFX169" s="1360"/>
      <c r="RFY169" s="955"/>
      <c r="RFZ169" s="1361"/>
      <c r="RGA169" s="1360"/>
      <c r="RGB169" s="1925"/>
      <c r="RGC169" s="955"/>
      <c r="RGD169" s="963"/>
      <c r="RGE169" s="2242"/>
      <c r="RGF169" s="1360"/>
      <c r="RGG169" s="955"/>
      <c r="RGH169" s="1361"/>
      <c r="RGI169" s="1360"/>
      <c r="RGJ169" s="1925"/>
      <c r="RGK169" s="955"/>
      <c r="RGL169" s="963"/>
      <c r="RGM169" s="2242"/>
      <c r="RGN169" s="1360"/>
      <c r="RGO169" s="955"/>
      <c r="RGP169" s="1361"/>
      <c r="RGQ169" s="1360"/>
      <c r="RGR169" s="1925"/>
      <c r="RGS169" s="955"/>
      <c r="RGT169" s="963"/>
      <c r="RGU169" s="2242"/>
      <c r="RGV169" s="1360"/>
      <c r="RGW169" s="955"/>
      <c r="RGX169" s="1361"/>
      <c r="RGY169" s="1360"/>
      <c r="RGZ169" s="1925"/>
      <c r="RHA169" s="955"/>
      <c r="RHB169" s="963"/>
      <c r="RHC169" s="2242"/>
      <c r="RHD169" s="1360"/>
      <c r="RHE169" s="955"/>
      <c r="RHF169" s="1361"/>
      <c r="RHG169" s="1360"/>
      <c r="RHH169" s="1925"/>
      <c r="RHI169" s="955"/>
      <c r="RHJ169" s="963"/>
      <c r="RHK169" s="2242"/>
      <c r="RHL169" s="1360"/>
      <c r="RHM169" s="955"/>
      <c r="RHN169" s="1361"/>
      <c r="RHO169" s="1360"/>
      <c r="RHP169" s="1925"/>
      <c r="RHQ169" s="955"/>
      <c r="RHR169" s="963"/>
      <c r="RHS169" s="2242"/>
      <c r="RHT169" s="1360"/>
      <c r="RHU169" s="955"/>
      <c r="RHV169" s="1361"/>
      <c r="RHW169" s="1360"/>
      <c r="RHX169" s="1925"/>
      <c r="RHY169" s="955"/>
      <c r="RHZ169" s="963"/>
      <c r="RIA169" s="2242"/>
      <c r="RIB169" s="1360"/>
      <c r="RIC169" s="955"/>
      <c r="RID169" s="1361"/>
      <c r="RIE169" s="1360"/>
      <c r="RIF169" s="1925"/>
      <c r="RIG169" s="955"/>
      <c r="RIH169" s="963"/>
      <c r="RII169" s="2242"/>
      <c r="RIJ169" s="1360"/>
      <c r="RIK169" s="955"/>
      <c r="RIL169" s="1361"/>
      <c r="RIM169" s="1360"/>
      <c r="RIN169" s="1925"/>
      <c r="RIO169" s="955"/>
      <c r="RIP169" s="963"/>
      <c r="RIQ169" s="2242"/>
      <c r="RIR169" s="1360"/>
      <c r="RIS169" s="955"/>
      <c r="RIT169" s="1361"/>
      <c r="RIU169" s="1360"/>
      <c r="RIV169" s="1925"/>
      <c r="RIW169" s="955"/>
      <c r="RIX169" s="963"/>
      <c r="RIY169" s="2242"/>
      <c r="RIZ169" s="1360"/>
      <c r="RJA169" s="955"/>
      <c r="RJB169" s="1361"/>
      <c r="RJC169" s="1360"/>
      <c r="RJD169" s="1925"/>
      <c r="RJE169" s="955"/>
      <c r="RJF169" s="963"/>
      <c r="RJG169" s="2242"/>
      <c r="RJH169" s="1360"/>
      <c r="RJI169" s="955"/>
      <c r="RJJ169" s="1361"/>
      <c r="RJK169" s="1360"/>
      <c r="RJL169" s="1925"/>
      <c r="RJM169" s="955"/>
      <c r="RJN169" s="963"/>
      <c r="RJO169" s="2242"/>
      <c r="RJP169" s="1360"/>
      <c r="RJQ169" s="955"/>
      <c r="RJR169" s="1361"/>
      <c r="RJS169" s="1360"/>
      <c r="RJT169" s="1925"/>
      <c r="RJU169" s="955"/>
      <c r="RJV169" s="963"/>
      <c r="RJW169" s="2242"/>
      <c r="RJX169" s="1360"/>
      <c r="RJY169" s="955"/>
      <c r="RJZ169" s="1361"/>
      <c r="RKA169" s="1360"/>
      <c r="RKB169" s="1925"/>
      <c r="RKC169" s="955"/>
      <c r="RKD169" s="963"/>
      <c r="RKE169" s="2242"/>
      <c r="RKF169" s="1360"/>
      <c r="RKG169" s="955"/>
      <c r="RKH169" s="1361"/>
      <c r="RKI169" s="1360"/>
      <c r="RKJ169" s="1925"/>
      <c r="RKK169" s="955"/>
      <c r="RKL169" s="963"/>
      <c r="RKM169" s="2242"/>
      <c r="RKN169" s="1360"/>
      <c r="RKO169" s="955"/>
      <c r="RKP169" s="1361"/>
      <c r="RKQ169" s="1360"/>
      <c r="RKR169" s="1925"/>
      <c r="RKS169" s="955"/>
      <c r="RKT169" s="963"/>
      <c r="RKU169" s="2242"/>
      <c r="RKV169" s="1360"/>
      <c r="RKW169" s="955"/>
      <c r="RKX169" s="1361"/>
      <c r="RKY169" s="1360"/>
      <c r="RKZ169" s="1925"/>
      <c r="RLA169" s="955"/>
      <c r="RLB169" s="963"/>
      <c r="RLC169" s="2242"/>
      <c r="RLD169" s="1360"/>
      <c r="RLE169" s="955"/>
      <c r="RLF169" s="1361"/>
      <c r="RLG169" s="1360"/>
      <c r="RLH169" s="1925"/>
      <c r="RLI169" s="955"/>
      <c r="RLJ169" s="963"/>
      <c r="RLK169" s="2242"/>
      <c r="RLL169" s="1360"/>
      <c r="RLM169" s="955"/>
      <c r="RLN169" s="1361"/>
      <c r="RLO169" s="1360"/>
      <c r="RLP169" s="1925"/>
      <c r="RLQ169" s="955"/>
      <c r="RLR169" s="963"/>
      <c r="RLS169" s="2242"/>
      <c r="RLT169" s="1360"/>
      <c r="RLU169" s="955"/>
      <c r="RLV169" s="1361"/>
      <c r="RLW169" s="1360"/>
      <c r="RLX169" s="1925"/>
      <c r="RLY169" s="955"/>
      <c r="RLZ169" s="963"/>
      <c r="RMA169" s="2242"/>
      <c r="RMB169" s="1360"/>
      <c r="RMC169" s="955"/>
      <c r="RMD169" s="1361"/>
      <c r="RME169" s="1360"/>
      <c r="RMF169" s="1925"/>
      <c r="RMG169" s="955"/>
      <c r="RMH169" s="963"/>
      <c r="RMI169" s="2242"/>
      <c r="RMJ169" s="1360"/>
      <c r="RMK169" s="955"/>
      <c r="RML169" s="1361"/>
      <c r="RMM169" s="1360"/>
      <c r="RMN169" s="1925"/>
      <c r="RMO169" s="955"/>
      <c r="RMP169" s="963"/>
      <c r="RMQ169" s="2242"/>
      <c r="RMR169" s="1360"/>
      <c r="RMS169" s="955"/>
      <c r="RMT169" s="1361"/>
      <c r="RMU169" s="1360"/>
      <c r="RMV169" s="1925"/>
      <c r="RMW169" s="955"/>
      <c r="RMX169" s="963"/>
      <c r="RMY169" s="2242"/>
      <c r="RMZ169" s="1360"/>
      <c r="RNA169" s="955"/>
      <c r="RNB169" s="1361"/>
      <c r="RNC169" s="1360"/>
      <c r="RND169" s="1925"/>
      <c r="RNE169" s="955"/>
      <c r="RNF169" s="963"/>
      <c r="RNG169" s="2242"/>
      <c r="RNH169" s="1360"/>
      <c r="RNI169" s="955"/>
      <c r="RNJ169" s="1361"/>
      <c r="RNK169" s="1360"/>
      <c r="RNL169" s="1925"/>
      <c r="RNM169" s="955"/>
      <c r="RNN169" s="963"/>
      <c r="RNO169" s="2242"/>
      <c r="RNP169" s="1360"/>
      <c r="RNQ169" s="955"/>
      <c r="RNR169" s="1361"/>
      <c r="RNS169" s="1360"/>
      <c r="RNT169" s="1925"/>
      <c r="RNU169" s="955"/>
      <c r="RNV169" s="963"/>
      <c r="RNW169" s="2242"/>
      <c r="RNX169" s="1360"/>
      <c r="RNY169" s="955"/>
      <c r="RNZ169" s="1361"/>
      <c r="ROA169" s="1360"/>
      <c r="ROB169" s="1925"/>
      <c r="ROC169" s="955"/>
      <c r="ROD169" s="963"/>
      <c r="ROE169" s="2242"/>
      <c r="ROF169" s="1360"/>
      <c r="ROG169" s="955"/>
      <c r="ROH169" s="1361"/>
      <c r="ROI169" s="1360"/>
      <c r="ROJ169" s="1925"/>
      <c r="ROK169" s="955"/>
      <c r="ROL169" s="963"/>
      <c r="ROM169" s="2242"/>
      <c r="RON169" s="1360"/>
      <c r="ROO169" s="955"/>
      <c r="ROP169" s="1361"/>
      <c r="ROQ169" s="1360"/>
      <c r="ROR169" s="1925"/>
      <c r="ROS169" s="955"/>
      <c r="ROT169" s="963"/>
      <c r="ROU169" s="2242"/>
      <c r="ROV169" s="1360"/>
      <c r="ROW169" s="955"/>
      <c r="ROX169" s="1361"/>
      <c r="ROY169" s="1360"/>
      <c r="ROZ169" s="1925"/>
      <c r="RPA169" s="955"/>
      <c r="RPB169" s="963"/>
      <c r="RPC169" s="2242"/>
      <c r="RPD169" s="1360"/>
      <c r="RPE169" s="955"/>
      <c r="RPF169" s="1361"/>
      <c r="RPG169" s="1360"/>
      <c r="RPH169" s="1925"/>
      <c r="RPI169" s="955"/>
      <c r="RPJ169" s="963"/>
      <c r="RPK169" s="2242"/>
      <c r="RPL169" s="1360"/>
      <c r="RPM169" s="955"/>
      <c r="RPN169" s="1361"/>
      <c r="RPO169" s="1360"/>
      <c r="RPP169" s="1925"/>
      <c r="RPQ169" s="955"/>
      <c r="RPR169" s="963"/>
      <c r="RPS169" s="2242"/>
      <c r="RPT169" s="1360"/>
      <c r="RPU169" s="955"/>
      <c r="RPV169" s="1361"/>
      <c r="RPW169" s="1360"/>
      <c r="RPX169" s="1925"/>
      <c r="RPY169" s="955"/>
      <c r="RPZ169" s="963"/>
      <c r="RQA169" s="2242"/>
      <c r="RQB169" s="1360"/>
      <c r="RQC169" s="955"/>
      <c r="RQD169" s="1361"/>
      <c r="RQE169" s="1360"/>
      <c r="RQF169" s="1925"/>
      <c r="RQG169" s="955"/>
      <c r="RQH169" s="963"/>
      <c r="RQI169" s="2242"/>
      <c r="RQJ169" s="1360"/>
      <c r="RQK169" s="955"/>
      <c r="RQL169" s="1361"/>
      <c r="RQM169" s="1360"/>
      <c r="RQN169" s="1925"/>
      <c r="RQO169" s="955"/>
      <c r="RQP169" s="963"/>
      <c r="RQQ169" s="2242"/>
      <c r="RQR169" s="1360"/>
      <c r="RQS169" s="955"/>
      <c r="RQT169" s="1361"/>
      <c r="RQU169" s="1360"/>
      <c r="RQV169" s="1925"/>
      <c r="RQW169" s="955"/>
      <c r="RQX169" s="963"/>
      <c r="RQY169" s="2242"/>
      <c r="RQZ169" s="1360"/>
      <c r="RRA169" s="955"/>
      <c r="RRB169" s="1361"/>
      <c r="RRC169" s="1360"/>
      <c r="RRD169" s="1925"/>
      <c r="RRE169" s="955"/>
      <c r="RRF169" s="963"/>
      <c r="RRG169" s="2242"/>
      <c r="RRH169" s="1360"/>
      <c r="RRI169" s="955"/>
      <c r="RRJ169" s="1361"/>
      <c r="RRK169" s="1360"/>
      <c r="RRL169" s="1925"/>
      <c r="RRM169" s="955"/>
      <c r="RRN169" s="963"/>
      <c r="RRO169" s="2242"/>
      <c r="RRP169" s="1360"/>
      <c r="RRQ169" s="955"/>
      <c r="RRR169" s="1361"/>
      <c r="RRS169" s="1360"/>
      <c r="RRT169" s="1925"/>
      <c r="RRU169" s="955"/>
      <c r="RRV169" s="963"/>
      <c r="RRW169" s="2242"/>
      <c r="RRX169" s="1360"/>
      <c r="RRY169" s="955"/>
      <c r="RRZ169" s="1361"/>
      <c r="RSA169" s="1360"/>
      <c r="RSB169" s="1925"/>
      <c r="RSC169" s="955"/>
      <c r="RSD169" s="963"/>
      <c r="RSE169" s="2242"/>
      <c r="RSF169" s="1360"/>
      <c r="RSG169" s="955"/>
      <c r="RSH169" s="1361"/>
      <c r="RSI169" s="1360"/>
      <c r="RSJ169" s="1925"/>
      <c r="RSK169" s="955"/>
      <c r="RSL169" s="963"/>
      <c r="RSM169" s="2242"/>
      <c r="RSN169" s="1360"/>
      <c r="RSO169" s="955"/>
      <c r="RSP169" s="1361"/>
      <c r="RSQ169" s="1360"/>
      <c r="RSR169" s="1925"/>
      <c r="RSS169" s="955"/>
      <c r="RST169" s="963"/>
      <c r="RSU169" s="2242"/>
      <c r="RSV169" s="1360"/>
      <c r="RSW169" s="955"/>
      <c r="RSX169" s="1361"/>
      <c r="RSY169" s="1360"/>
      <c r="RSZ169" s="1925"/>
      <c r="RTA169" s="955"/>
      <c r="RTB169" s="963"/>
      <c r="RTC169" s="2242"/>
      <c r="RTD169" s="1360"/>
      <c r="RTE169" s="955"/>
      <c r="RTF169" s="1361"/>
      <c r="RTG169" s="1360"/>
      <c r="RTH169" s="1925"/>
      <c r="RTI169" s="955"/>
      <c r="RTJ169" s="963"/>
      <c r="RTK169" s="2242"/>
      <c r="RTL169" s="1360"/>
      <c r="RTM169" s="955"/>
      <c r="RTN169" s="1361"/>
      <c r="RTO169" s="1360"/>
      <c r="RTP169" s="1925"/>
      <c r="RTQ169" s="955"/>
      <c r="RTR169" s="963"/>
      <c r="RTS169" s="2242"/>
      <c r="RTT169" s="1360"/>
      <c r="RTU169" s="955"/>
      <c r="RTV169" s="1361"/>
      <c r="RTW169" s="1360"/>
      <c r="RTX169" s="1925"/>
      <c r="RTY169" s="955"/>
      <c r="RTZ169" s="963"/>
      <c r="RUA169" s="2242"/>
      <c r="RUB169" s="1360"/>
      <c r="RUC169" s="955"/>
      <c r="RUD169" s="1361"/>
      <c r="RUE169" s="1360"/>
      <c r="RUF169" s="1925"/>
      <c r="RUG169" s="955"/>
      <c r="RUH169" s="963"/>
      <c r="RUI169" s="2242"/>
      <c r="RUJ169" s="1360"/>
      <c r="RUK169" s="955"/>
      <c r="RUL169" s="1361"/>
      <c r="RUM169" s="1360"/>
      <c r="RUN169" s="1925"/>
      <c r="RUO169" s="955"/>
      <c r="RUP169" s="963"/>
      <c r="RUQ169" s="2242"/>
      <c r="RUR169" s="1360"/>
      <c r="RUS169" s="955"/>
      <c r="RUT169" s="1361"/>
      <c r="RUU169" s="1360"/>
      <c r="RUV169" s="1925"/>
      <c r="RUW169" s="955"/>
      <c r="RUX169" s="963"/>
      <c r="RUY169" s="2242"/>
      <c r="RUZ169" s="1360"/>
      <c r="RVA169" s="955"/>
      <c r="RVB169" s="1361"/>
      <c r="RVC169" s="1360"/>
      <c r="RVD169" s="1925"/>
      <c r="RVE169" s="955"/>
      <c r="RVF169" s="963"/>
      <c r="RVG169" s="2242"/>
      <c r="RVH169" s="1360"/>
      <c r="RVI169" s="955"/>
      <c r="RVJ169" s="1361"/>
      <c r="RVK169" s="1360"/>
      <c r="RVL169" s="1925"/>
      <c r="RVM169" s="955"/>
      <c r="RVN169" s="963"/>
      <c r="RVO169" s="2242"/>
      <c r="RVP169" s="1360"/>
      <c r="RVQ169" s="955"/>
      <c r="RVR169" s="1361"/>
      <c r="RVS169" s="1360"/>
      <c r="RVT169" s="1925"/>
      <c r="RVU169" s="955"/>
      <c r="RVV169" s="963"/>
      <c r="RVW169" s="2242"/>
      <c r="RVX169" s="1360"/>
      <c r="RVY169" s="955"/>
      <c r="RVZ169" s="1361"/>
      <c r="RWA169" s="1360"/>
      <c r="RWB169" s="1925"/>
      <c r="RWC169" s="955"/>
      <c r="RWD169" s="963"/>
      <c r="RWE169" s="2242"/>
      <c r="RWF169" s="1360"/>
      <c r="RWG169" s="955"/>
      <c r="RWH169" s="1361"/>
      <c r="RWI169" s="1360"/>
      <c r="RWJ169" s="1925"/>
      <c r="RWK169" s="955"/>
      <c r="RWL169" s="963"/>
      <c r="RWM169" s="2242"/>
      <c r="RWN169" s="1360"/>
      <c r="RWO169" s="955"/>
      <c r="RWP169" s="1361"/>
      <c r="RWQ169" s="1360"/>
      <c r="RWR169" s="1925"/>
      <c r="RWS169" s="955"/>
      <c r="RWT169" s="963"/>
      <c r="RWU169" s="2242"/>
      <c r="RWV169" s="1360"/>
      <c r="RWW169" s="955"/>
      <c r="RWX169" s="1361"/>
      <c r="RWY169" s="1360"/>
      <c r="RWZ169" s="1925"/>
      <c r="RXA169" s="955"/>
      <c r="RXB169" s="963"/>
      <c r="RXC169" s="2242"/>
      <c r="RXD169" s="1360"/>
      <c r="RXE169" s="955"/>
      <c r="RXF169" s="1361"/>
      <c r="RXG169" s="1360"/>
      <c r="RXH169" s="1925"/>
      <c r="RXI169" s="955"/>
      <c r="RXJ169" s="963"/>
      <c r="RXK169" s="2242"/>
      <c r="RXL169" s="1360"/>
      <c r="RXM169" s="955"/>
      <c r="RXN169" s="1361"/>
      <c r="RXO169" s="1360"/>
      <c r="RXP169" s="1925"/>
      <c r="RXQ169" s="955"/>
      <c r="RXR169" s="963"/>
      <c r="RXS169" s="2242"/>
      <c r="RXT169" s="1360"/>
      <c r="RXU169" s="955"/>
      <c r="RXV169" s="1361"/>
      <c r="RXW169" s="1360"/>
      <c r="RXX169" s="1925"/>
      <c r="RXY169" s="955"/>
      <c r="RXZ169" s="963"/>
      <c r="RYA169" s="2242"/>
      <c r="RYB169" s="1360"/>
      <c r="RYC169" s="955"/>
      <c r="RYD169" s="1361"/>
      <c r="RYE169" s="1360"/>
      <c r="RYF169" s="1925"/>
      <c r="RYG169" s="955"/>
      <c r="RYH169" s="963"/>
      <c r="RYI169" s="2242"/>
      <c r="RYJ169" s="1360"/>
      <c r="RYK169" s="955"/>
      <c r="RYL169" s="1361"/>
      <c r="RYM169" s="1360"/>
      <c r="RYN169" s="1925"/>
      <c r="RYO169" s="955"/>
      <c r="RYP169" s="963"/>
      <c r="RYQ169" s="2242"/>
      <c r="RYR169" s="1360"/>
      <c r="RYS169" s="955"/>
      <c r="RYT169" s="1361"/>
      <c r="RYU169" s="1360"/>
      <c r="RYV169" s="1925"/>
      <c r="RYW169" s="955"/>
      <c r="RYX169" s="963"/>
      <c r="RYY169" s="2242"/>
      <c r="RYZ169" s="1360"/>
      <c r="RZA169" s="955"/>
      <c r="RZB169" s="1361"/>
      <c r="RZC169" s="1360"/>
      <c r="RZD169" s="1925"/>
      <c r="RZE169" s="955"/>
      <c r="RZF169" s="963"/>
      <c r="RZG169" s="2242"/>
      <c r="RZH169" s="1360"/>
      <c r="RZI169" s="955"/>
      <c r="RZJ169" s="1361"/>
      <c r="RZK169" s="1360"/>
      <c r="RZL169" s="1925"/>
      <c r="RZM169" s="955"/>
      <c r="RZN169" s="963"/>
      <c r="RZO169" s="2242"/>
      <c r="RZP169" s="1360"/>
      <c r="RZQ169" s="955"/>
      <c r="RZR169" s="1361"/>
      <c r="RZS169" s="1360"/>
      <c r="RZT169" s="1925"/>
      <c r="RZU169" s="955"/>
      <c r="RZV169" s="963"/>
      <c r="RZW169" s="2242"/>
      <c r="RZX169" s="1360"/>
      <c r="RZY169" s="955"/>
      <c r="RZZ169" s="1361"/>
      <c r="SAA169" s="1360"/>
      <c r="SAB169" s="1925"/>
      <c r="SAC169" s="955"/>
      <c r="SAD169" s="963"/>
      <c r="SAE169" s="2242"/>
      <c r="SAF169" s="1360"/>
      <c r="SAG169" s="955"/>
      <c r="SAH169" s="1361"/>
      <c r="SAI169" s="1360"/>
      <c r="SAJ169" s="1925"/>
      <c r="SAK169" s="955"/>
      <c r="SAL169" s="963"/>
      <c r="SAM169" s="2242"/>
      <c r="SAN169" s="1360"/>
      <c r="SAO169" s="955"/>
      <c r="SAP169" s="1361"/>
      <c r="SAQ169" s="1360"/>
      <c r="SAR169" s="1925"/>
      <c r="SAS169" s="955"/>
      <c r="SAT169" s="963"/>
      <c r="SAU169" s="2242"/>
      <c r="SAV169" s="1360"/>
      <c r="SAW169" s="955"/>
      <c r="SAX169" s="1361"/>
      <c r="SAY169" s="1360"/>
      <c r="SAZ169" s="1925"/>
      <c r="SBA169" s="955"/>
      <c r="SBB169" s="963"/>
      <c r="SBC169" s="2242"/>
      <c r="SBD169" s="1360"/>
      <c r="SBE169" s="955"/>
      <c r="SBF169" s="1361"/>
      <c r="SBG169" s="1360"/>
      <c r="SBH169" s="1925"/>
      <c r="SBI169" s="955"/>
      <c r="SBJ169" s="963"/>
      <c r="SBK169" s="2242"/>
      <c r="SBL169" s="1360"/>
      <c r="SBM169" s="955"/>
      <c r="SBN169" s="1361"/>
      <c r="SBO169" s="1360"/>
      <c r="SBP169" s="1925"/>
      <c r="SBQ169" s="955"/>
      <c r="SBR169" s="963"/>
      <c r="SBS169" s="2242"/>
      <c r="SBT169" s="1360"/>
      <c r="SBU169" s="955"/>
      <c r="SBV169" s="1361"/>
      <c r="SBW169" s="1360"/>
      <c r="SBX169" s="1925"/>
      <c r="SBY169" s="955"/>
      <c r="SBZ169" s="963"/>
      <c r="SCA169" s="2242"/>
      <c r="SCB169" s="1360"/>
      <c r="SCC169" s="955"/>
      <c r="SCD169" s="1361"/>
      <c r="SCE169" s="1360"/>
      <c r="SCF169" s="1925"/>
      <c r="SCG169" s="955"/>
      <c r="SCH169" s="963"/>
      <c r="SCI169" s="2242"/>
      <c r="SCJ169" s="1360"/>
      <c r="SCK169" s="955"/>
      <c r="SCL169" s="1361"/>
      <c r="SCM169" s="1360"/>
      <c r="SCN169" s="1925"/>
      <c r="SCO169" s="955"/>
      <c r="SCP169" s="963"/>
      <c r="SCQ169" s="2242"/>
      <c r="SCR169" s="1360"/>
      <c r="SCS169" s="955"/>
      <c r="SCT169" s="1361"/>
      <c r="SCU169" s="1360"/>
      <c r="SCV169" s="1925"/>
      <c r="SCW169" s="955"/>
      <c r="SCX169" s="963"/>
      <c r="SCY169" s="2242"/>
      <c r="SCZ169" s="1360"/>
      <c r="SDA169" s="955"/>
      <c r="SDB169" s="1361"/>
      <c r="SDC169" s="1360"/>
      <c r="SDD169" s="1925"/>
      <c r="SDE169" s="955"/>
      <c r="SDF169" s="963"/>
      <c r="SDG169" s="2242"/>
      <c r="SDH169" s="1360"/>
      <c r="SDI169" s="955"/>
      <c r="SDJ169" s="1361"/>
      <c r="SDK169" s="1360"/>
      <c r="SDL169" s="1925"/>
      <c r="SDM169" s="955"/>
      <c r="SDN169" s="963"/>
      <c r="SDO169" s="2242"/>
      <c r="SDP169" s="1360"/>
      <c r="SDQ169" s="955"/>
      <c r="SDR169" s="1361"/>
      <c r="SDS169" s="1360"/>
      <c r="SDT169" s="1925"/>
      <c r="SDU169" s="955"/>
      <c r="SDV169" s="963"/>
      <c r="SDW169" s="2242"/>
      <c r="SDX169" s="1360"/>
      <c r="SDY169" s="955"/>
      <c r="SDZ169" s="1361"/>
      <c r="SEA169" s="1360"/>
      <c r="SEB169" s="1925"/>
      <c r="SEC169" s="955"/>
      <c r="SED169" s="963"/>
      <c r="SEE169" s="2242"/>
      <c r="SEF169" s="1360"/>
      <c r="SEG169" s="955"/>
      <c r="SEH169" s="1361"/>
      <c r="SEI169" s="1360"/>
      <c r="SEJ169" s="1925"/>
      <c r="SEK169" s="955"/>
      <c r="SEL169" s="963"/>
      <c r="SEM169" s="2242"/>
      <c r="SEN169" s="1360"/>
      <c r="SEO169" s="955"/>
      <c r="SEP169" s="1361"/>
      <c r="SEQ169" s="1360"/>
      <c r="SER169" s="1925"/>
      <c r="SES169" s="955"/>
      <c r="SET169" s="963"/>
      <c r="SEU169" s="2242"/>
      <c r="SEV169" s="1360"/>
      <c r="SEW169" s="955"/>
      <c r="SEX169" s="1361"/>
      <c r="SEY169" s="1360"/>
      <c r="SEZ169" s="1925"/>
      <c r="SFA169" s="955"/>
      <c r="SFB169" s="963"/>
      <c r="SFC169" s="2242"/>
      <c r="SFD169" s="1360"/>
      <c r="SFE169" s="955"/>
      <c r="SFF169" s="1361"/>
      <c r="SFG169" s="1360"/>
      <c r="SFH169" s="1925"/>
      <c r="SFI169" s="955"/>
      <c r="SFJ169" s="963"/>
      <c r="SFK169" s="2242"/>
      <c r="SFL169" s="1360"/>
      <c r="SFM169" s="955"/>
      <c r="SFN169" s="1361"/>
      <c r="SFO169" s="1360"/>
      <c r="SFP169" s="1925"/>
      <c r="SFQ169" s="955"/>
      <c r="SFR169" s="963"/>
      <c r="SFS169" s="2242"/>
      <c r="SFT169" s="1360"/>
      <c r="SFU169" s="955"/>
      <c r="SFV169" s="1361"/>
      <c r="SFW169" s="1360"/>
      <c r="SFX169" s="1925"/>
      <c r="SFY169" s="955"/>
      <c r="SFZ169" s="963"/>
      <c r="SGA169" s="2242"/>
      <c r="SGB169" s="1360"/>
      <c r="SGC169" s="955"/>
      <c r="SGD169" s="1361"/>
      <c r="SGE169" s="1360"/>
      <c r="SGF169" s="1925"/>
      <c r="SGG169" s="955"/>
      <c r="SGH169" s="963"/>
      <c r="SGI169" s="2242"/>
      <c r="SGJ169" s="1360"/>
      <c r="SGK169" s="955"/>
      <c r="SGL169" s="1361"/>
      <c r="SGM169" s="1360"/>
      <c r="SGN169" s="1925"/>
      <c r="SGO169" s="955"/>
      <c r="SGP169" s="963"/>
      <c r="SGQ169" s="2242"/>
      <c r="SGR169" s="1360"/>
      <c r="SGS169" s="955"/>
      <c r="SGT169" s="1361"/>
      <c r="SGU169" s="1360"/>
      <c r="SGV169" s="1925"/>
      <c r="SGW169" s="955"/>
      <c r="SGX169" s="963"/>
      <c r="SGY169" s="2242"/>
      <c r="SGZ169" s="1360"/>
      <c r="SHA169" s="955"/>
      <c r="SHB169" s="1361"/>
      <c r="SHC169" s="1360"/>
      <c r="SHD169" s="1925"/>
      <c r="SHE169" s="955"/>
      <c r="SHF169" s="963"/>
      <c r="SHG169" s="2242"/>
      <c r="SHH169" s="1360"/>
      <c r="SHI169" s="955"/>
      <c r="SHJ169" s="1361"/>
      <c r="SHK169" s="1360"/>
      <c r="SHL169" s="1925"/>
      <c r="SHM169" s="955"/>
      <c r="SHN169" s="963"/>
      <c r="SHO169" s="2242"/>
      <c r="SHP169" s="1360"/>
      <c r="SHQ169" s="955"/>
      <c r="SHR169" s="1361"/>
      <c r="SHS169" s="1360"/>
      <c r="SHT169" s="1925"/>
      <c r="SHU169" s="955"/>
      <c r="SHV169" s="963"/>
      <c r="SHW169" s="2242"/>
      <c r="SHX169" s="1360"/>
      <c r="SHY169" s="955"/>
      <c r="SHZ169" s="1361"/>
      <c r="SIA169" s="1360"/>
      <c r="SIB169" s="1925"/>
      <c r="SIC169" s="955"/>
      <c r="SID169" s="963"/>
      <c r="SIE169" s="2242"/>
      <c r="SIF169" s="1360"/>
      <c r="SIG169" s="955"/>
      <c r="SIH169" s="1361"/>
      <c r="SII169" s="1360"/>
      <c r="SIJ169" s="1925"/>
      <c r="SIK169" s="955"/>
      <c r="SIL169" s="963"/>
      <c r="SIM169" s="2242"/>
      <c r="SIN169" s="1360"/>
      <c r="SIO169" s="955"/>
      <c r="SIP169" s="1361"/>
      <c r="SIQ169" s="1360"/>
      <c r="SIR169" s="1925"/>
      <c r="SIS169" s="955"/>
      <c r="SIT169" s="963"/>
      <c r="SIU169" s="2242"/>
      <c r="SIV169" s="1360"/>
      <c r="SIW169" s="955"/>
      <c r="SIX169" s="1361"/>
      <c r="SIY169" s="1360"/>
      <c r="SIZ169" s="1925"/>
      <c r="SJA169" s="955"/>
      <c r="SJB169" s="963"/>
      <c r="SJC169" s="2242"/>
      <c r="SJD169" s="1360"/>
      <c r="SJE169" s="955"/>
      <c r="SJF169" s="1361"/>
      <c r="SJG169" s="1360"/>
      <c r="SJH169" s="1925"/>
      <c r="SJI169" s="955"/>
      <c r="SJJ169" s="963"/>
      <c r="SJK169" s="2242"/>
      <c r="SJL169" s="1360"/>
      <c r="SJM169" s="955"/>
      <c r="SJN169" s="1361"/>
      <c r="SJO169" s="1360"/>
      <c r="SJP169" s="1925"/>
      <c r="SJQ169" s="955"/>
      <c r="SJR169" s="963"/>
      <c r="SJS169" s="2242"/>
      <c r="SJT169" s="1360"/>
      <c r="SJU169" s="955"/>
      <c r="SJV169" s="1361"/>
      <c r="SJW169" s="1360"/>
      <c r="SJX169" s="1925"/>
      <c r="SJY169" s="955"/>
      <c r="SJZ169" s="963"/>
      <c r="SKA169" s="2242"/>
      <c r="SKB169" s="1360"/>
      <c r="SKC169" s="955"/>
      <c r="SKD169" s="1361"/>
      <c r="SKE169" s="1360"/>
      <c r="SKF169" s="1925"/>
      <c r="SKG169" s="955"/>
      <c r="SKH169" s="963"/>
      <c r="SKI169" s="2242"/>
      <c r="SKJ169" s="1360"/>
      <c r="SKK169" s="955"/>
      <c r="SKL169" s="1361"/>
      <c r="SKM169" s="1360"/>
      <c r="SKN169" s="1925"/>
      <c r="SKO169" s="955"/>
      <c r="SKP169" s="963"/>
      <c r="SKQ169" s="2242"/>
      <c r="SKR169" s="1360"/>
      <c r="SKS169" s="955"/>
      <c r="SKT169" s="1361"/>
      <c r="SKU169" s="1360"/>
      <c r="SKV169" s="1925"/>
      <c r="SKW169" s="955"/>
      <c r="SKX169" s="963"/>
      <c r="SKY169" s="2242"/>
      <c r="SKZ169" s="1360"/>
      <c r="SLA169" s="955"/>
      <c r="SLB169" s="1361"/>
      <c r="SLC169" s="1360"/>
      <c r="SLD169" s="1925"/>
      <c r="SLE169" s="955"/>
      <c r="SLF169" s="963"/>
      <c r="SLG169" s="2242"/>
      <c r="SLH169" s="1360"/>
      <c r="SLI169" s="955"/>
      <c r="SLJ169" s="1361"/>
      <c r="SLK169" s="1360"/>
      <c r="SLL169" s="1925"/>
      <c r="SLM169" s="955"/>
      <c r="SLN169" s="963"/>
      <c r="SLO169" s="2242"/>
      <c r="SLP169" s="1360"/>
      <c r="SLQ169" s="955"/>
      <c r="SLR169" s="1361"/>
      <c r="SLS169" s="1360"/>
      <c r="SLT169" s="1925"/>
      <c r="SLU169" s="955"/>
      <c r="SLV169" s="963"/>
      <c r="SLW169" s="2242"/>
      <c r="SLX169" s="1360"/>
      <c r="SLY169" s="955"/>
      <c r="SLZ169" s="1361"/>
      <c r="SMA169" s="1360"/>
      <c r="SMB169" s="1925"/>
      <c r="SMC169" s="955"/>
      <c r="SMD169" s="963"/>
      <c r="SME169" s="2242"/>
      <c r="SMF169" s="1360"/>
      <c r="SMG169" s="955"/>
      <c r="SMH169" s="1361"/>
      <c r="SMI169" s="1360"/>
      <c r="SMJ169" s="1925"/>
      <c r="SMK169" s="955"/>
      <c r="SML169" s="963"/>
      <c r="SMM169" s="2242"/>
      <c r="SMN169" s="1360"/>
      <c r="SMO169" s="955"/>
      <c r="SMP169" s="1361"/>
      <c r="SMQ169" s="1360"/>
      <c r="SMR169" s="1925"/>
      <c r="SMS169" s="955"/>
      <c r="SMT169" s="963"/>
      <c r="SMU169" s="2242"/>
      <c r="SMV169" s="1360"/>
      <c r="SMW169" s="955"/>
      <c r="SMX169" s="1361"/>
      <c r="SMY169" s="1360"/>
      <c r="SMZ169" s="1925"/>
      <c r="SNA169" s="955"/>
      <c r="SNB169" s="963"/>
      <c r="SNC169" s="2242"/>
      <c r="SND169" s="1360"/>
      <c r="SNE169" s="955"/>
      <c r="SNF169" s="1361"/>
      <c r="SNG169" s="1360"/>
      <c r="SNH169" s="1925"/>
      <c r="SNI169" s="955"/>
      <c r="SNJ169" s="963"/>
      <c r="SNK169" s="2242"/>
      <c r="SNL169" s="1360"/>
      <c r="SNM169" s="955"/>
      <c r="SNN169" s="1361"/>
      <c r="SNO169" s="1360"/>
      <c r="SNP169" s="1925"/>
      <c r="SNQ169" s="955"/>
      <c r="SNR169" s="963"/>
      <c r="SNS169" s="2242"/>
      <c r="SNT169" s="1360"/>
      <c r="SNU169" s="955"/>
      <c r="SNV169" s="1361"/>
      <c r="SNW169" s="1360"/>
      <c r="SNX169" s="1925"/>
      <c r="SNY169" s="955"/>
      <c r="SNZ169" s="963"/>
      <c r="SOA169" s="2242"/>
      <c r="SOB169" s="1360"/>
      <c r="SOC169" s="955"/>
      <c r="SOD169" s="1361"/>
      <c r="SOE169" s="1360"/>
      <c r="SOF169" s="1925"/>
      <c r="SOG169" s="955"/>
      <c r="SOH169" s="963"/>
      <c r="SOI169" s="2242"/>
      <c r="SOJ169" s="1360"/>
      <c r="SOK169" s="955"/>
      <c r="SOL169" s="1361"/>
      <c r="SOM169" s="1360"/>
      <c r="SON169" s="1925"/>
      <c r="SOO169" s="955"/>
      <c r="SOP169" s="963"/>
      <c r="SOQ169" s="2242"/>
      <c r="SOR169" s="1360"/>
      <c r="SOS169" s="955"/>
      <c r="SOT169" s="1361"/>
      <c r="SOU169" s="1360"/>
      <c r="SOV169" s="1925"/>
      <c r="SOW169" s="955"/>
      <c r="SOX169" s="963"/>
      <c r="SOY169" s="2242"/>
      <c r="SOZ169" s="1360"/>
      <c r="SPA169" s="955"/>
      <c r="SPB169" s="1361"/>
      <c r="SPC169" s="1360"/>
      <c r="SPD169" s="1925"/>
      <c r="SPE169" s="955"/>
      <c r="SPF169" s="963"/>
      <c r="SPG169" s="2242"/>
      <c r="SPH169" s="1360"/>
      <c r="SPI169" s="955"/>
      <c r="SPJ169" s="1361"/>
      <c r="SPK169" s="1360"/>
      <c r="SPL169" s="1925"/>
      <c r="SPM169" s="955"/>
      <c r="SPN169" s="963"/>
      <c r="SPO169" s="2242"/>
      <c r="SPP169" s="1360"/>
      <c r="SPQ169" s="955"/>
      <c r="SPR169" s="1361"/>
      <c r="SPS169" s="1360"/>
      <c r="SPT169" s="1925"/>
      <c r="SPU169" s="955"/>
      <c r="SPV169" s="963"/>
      <c r="SPW169" s="2242"/>
      <c r="SPX169" s="1360"/>
      <c r="SPY169" s="955"/>
      <c r="SPZ169" s="1361"/>
      <c r="SQA169" s="1360"/>
      <c r="SQB169" s="1925"/>
      <c r="SQC169" s="955"/>
      <c r="SQD169" s="963"/>
      <c r="SQE169" s="2242"/>
      <c r="SQF169" s="1360"/>
      <c r="SQG169" s="955"/>
      <c r="SQH169" s="1361"/>
      <c r="SQI169" s="1360"/>
      <c r="SQJ169" s="1925"/>
      <c r="SQK169" s="955"/>
      <c r="SQL169" s="963"/>
      <c r="SQM169" s="2242"/>
      <c r="SQN169" s="1360"/>
      <c r="SQO169" s="955"/>
      <c r="SQP169" s="1361"/>
      <c r="SQQ169" s="1360"/>
      <c r="SQR169" s="1925"/>
      <c r="SQS169" s="955"/>
      <c r="SQT169" s="963"/>
      <c r="SQU169" s="2242"/>
      <c r="SQV169" s="1360"/>
      <c r="SQW169" s="955"/>
      <c r="SQX169" s="1361"/>
      <c r="SQY169" s="1360"/>
      <c r="SQZ169" s="1925"/>
      <c r="SRA169" s="955"/>
      <c r="SRB169" s="963"/>
      <c r="SRC169" s="2242"/>
      <c r="SRD169" s="1360"/>
      <c r="SRE169" s="955"/>
      <c r="SRF169" s="1361"/>
      <c r="SRG169" s="1360"/>
      <c r="SRH169" s="1925"/>
      <c r="SRI169" s="955"/>
      <c r="SRJ169" s="963"/>
      <c r="SRK169" s="2242"/>
      <c r="SRL169" s="1360"/>
      <c r="SRM169" s="955"/>
      <c r="SRN169" s="1361"/>
      <c r="SRO169" s="1360"/>
      <c r="SRP169" s="1925"/>
      <c r="SRQ169" s="955"/>
      <c r="SRR169" s="963"/>
      <c r="SRS169" s="2242"/>
      <c r="SRT169" s="1360"/>
      <c r="SRU169" s="955"/>
      <c r="SRV169" s="1361"/>
      <c r="SRW169" s="1360"/>
      <c r="SRX169" s="1925"/>
      <c r="SRY169" s="955"/>
      <c r="SRZ169" s="963"/>
      <c r="SSA169" s="2242"/>
      <c r="SSB169" s="1360"/>
      <c r="SSC169" s="955"/>
      <c r="SSD169" s="1361"/>
      <c r="SSE169" s="1360"/>
      <c r="SSF169" s="1925"/>
      <c r="SSG169" s="955"/>
      <c r="SSH169" s="963"/>
      <c r="SSI169" s="2242"/>
      <c r="SSJ169" s="1360"/>
      <c r="SSK169" s="955"/>
      <c r="SSL169" s="1361"/>
      <c r="SSM169" s="1360"/>
      <c r="SSN169" s="1925"/>
      <c r="SSO169" s="955"/>
      <c r="SSP169" s="963"/>
      <c r="SSQ169" s="2242"/>
      <c r="SSR169" s="1360"/>
      <c r="SSS169" s="955"/>
      <c r="SST169" s="1361"/>
      <c r="SSU169" s="1360"/>
      <c r="SSV169" s="1925"/>
      <c r="SSW169" s="955"/>
      <c r="SSX169" s="963"/>
      <c r="SSY169" s="2242"/>
      <c r="SSZ169" s="1360"/>
      <c r="STA169" s="955"/>
      <c r="STB169" s="1361"/>
      <c r="STC169" s="1360"/>
      <c r="STD169" s="1925"/>
      <c r="STE169" s="955"/>
      <c r="STF169" s="963"/>
      <c r="STG169" s="2242"/>
      <c r="STH169" s="1360"/>
      <c r="STI169" s="955"/>
      <c r="STJ169" s="1361"/>
      <c r="STK169" s="1360"/>
      <c r="STL169" s="1925"/>
      <c r="STM169" s="955"/>
      <c r="STN169" s="963"/>
      <c r="STO169" s="2242"/>
      <c r="STP169" s="1360"/>
      <c r="STQ169" s="955"/>
      <c r="STR169" s="1361"/>
      <c r="STS169" s="1360"/>
      <c r="STT169" s="1925"/>
      <c r="STU169" s="955"/>
      <c r="STV169" s="963"/>
      <c r="STW169" s="2242"/>
      <c r="STX169" s="1360"/>
      <c r="STY169" s="955"/>
      <c r="STZ169" s="1361"/>
      <c r="SUA169" s="1360"/>
      <c r="SUB169" s="1925"/>
      <c r="SUC169" s="955"/>
      <c r="SUD169" s="963"/>
      <c r="SUE169" s="2242"/>
      <c r="SUF169" s="1360"/>
      <c r="SUG169" s="955"/>
      <c r="SUH169" s="1361"/>
      <c r="SUI169" s="1360"/>
      <c r="SUJ169" s="1925"/>
      <c r="SUK169" s="955"/>
      <c r="SUL169" s="963"/>
      <c r="SUM169" s="2242"/>
      <c r="SUN169" s="1360"/>
      <c r="SUO169" s="955"/>
      <c r="SUP169" s="1361"/>
      <c r="SUQ169" s="1360"/>
      <c r="SUR169" s="1925"/>
      <c r="SUS169" s="955"/>
      <c r="SUT169" s="963"/>
      <c r="SUU169" s="2242"/>
      <c r="SUV169" s="1360"/>
      <c r="SUW169" s="955"/>
      <c r="SUX169" s="1361"/>
      <c r="SUY169" s="1360"/>
      <c r="SUZ169" s="1925"/>
      <c r="SVA169" s="955"/>
      <c r="SVB169" s="963"/>
      <c r="SVC169" s="2242"/>
      <c r="SVD169" s="1360"/>
      <c r="SVE169" s="955"/>
      <c r="SVF169" s="1361"/>
      <c r="SVG169" s="1360"/>
      <c r="SVH169" s="1925"/>
      <c r="SVI169" s="955"/>
      <c r="SVJ169" s="963"/>
      <c r="SVK169" s="2242"/>
      <c r="SVL169" s="1360"/>
      <c r="SVM169" s="955"/>
      <c r="SVN169" s="1361"/>
      <c r="SVO169" s="1360"/>
      <c r="SVP169" s="1925"/>
      <c r="SVQ169" s="955"/>
      <c r="SVR169" s="963"/>
      <c r="SVS169" s="2242"/>
      <c r="SVT169" s="1360"/>
      <c r="SVU169" s="955"/>
      <c r="SVV169" s="1361"/>
      <c r="SVW169" s="1360"/>
      <c r="SVX169" s="1925"/>
      <c r="SVY169" s="955"/>
      <c r="SVZ169" s="963"/>
      <c r="SWA169" s="2242"/>
      <c r="SWB169" s="1360"/>
      <c r="SWC169" s="955"/>
      <c r="SWD169" s="1361"/>
      <c r="SWE169" s="1360"/>
      <c r="SWF169" s="1925"/>
      <c r="SWG169" s="955"/>
      <c r="SWH169" s="963"/>
      <c r="SWI169" s="2242"/>
      <c r="SWJ169" s="1360"/>
      <c r="SWK169" s="955"/>
      <c r="SWL169" s="1361"/>
      <c r="SWM169" s="1360"/>
      <c r="SWN169" s="1925"/>
      <c r="SWO169" s="955"/>
      <c r="SWP169" s="963"/>
      <c r="SWQ169" s="2242"/>
      <c r="SWR169" s="1360"/>
      <c r="SWS169" s="955"/>
      <c r="SWT169" s="1361"/>
      <c r="SWU169" s="1360"/>
      <c r="SWV169" s="1925"/>
      <c r="SWW169" s="955"/>
      <c r="SWX169" s="963"/>
      <c r="SWY169" s="2242"/>
      <c r="SWZ169" s="1360"/>
      <c r="SXA169" s="955"/>
      <c r="SXB169" s="1361"/>
      <c r="SXC169" s="1360"/>
      <c r="SXD169" s="1925"/>
      <c r="SXE169" s="955"/>
      <c r="SXF169" s="963"/>
      <c r="SXG169" s="2242"/>
      <c r="SXH169" s="1360"/>
      <c r="SXI169" s="955"/>
      <c r="SXJ169" s="1361"/>
      <c r="SXK169" s="1360"/>
      <c r="SXL169" s="1925"/>
      <c r="SXM169" s="955"/>
      <c r="SXN169" s="963"/>
      <c r="SXO169" s="2242"/>
      <c r="SXP169" s="1360"/>
      <c r="SXQ169" s="955"/>
      <c r="SXR169" s="1361"/>
      <c r="SXS169" s="1360"/>
      <c r="SXT169" s="1925"/>
      <c r="SXU169" s="955"/>
      <c r="SXV169" s="963"/>
      <c r="SXW169" s="2242"/>
      <c r="SXX169" s="1360"/>
      <c r="SXY169" s="955"/>
      <c r="SXZ169" s="1361"/>
      <c r="SYA169" s="1360"/>
      <c r="SYB169" s="1925"/>
      <c r="SYC169" s="955"/>
      <c r="SYD169" s="963"/>
      <c r="SYE169" s="2242"/>
      <c r="SYF169" s="1360"/>
      <c r="SYG169" s="955"/>
      <c r="SYH169" s="1361"/>
      <c r="SYI169" s="1360"/>
      <c r="SYJ169" s="1925"/>
      <c r="SYK169" s="955"/>
      <c r="SYL169" s="963"/>
      <c r="SYM169" s="2242"/>
      <c r="SYN169" s="1360"/>
      <c r="SYO169" s="955"/>
      <c r="SYP169" s="1361"/>
      <c r="SYQ169" s="1360"/>
      <c r="SYR169" s="1925"/>
      <c r="SYS169" s="955"/>
      <c r="SYT169" s="963"/>
      <c r="SYU169" s="2242"/>
      <c r="SYV169" s="1360"/>
      <c r="SYW169" s="955"/>
      <c r="SYX169" s="1361"/>
      <c r="SYY169" s="1360"/>
      <c r="SYZ169" s="1925"/>
      <c r="SZA169" s="955"/>
      <c r="SZB169" s="963"/>
      <c r="SZC169" s="2242"/>
      <c r="SZD169" s="1360"/>
      <c r="SZE169" s="955"/>
      <c r="SZF169" s="1361"/>
      <c r="SZG169" s="1360"/>
      <c r="SZH169" s="1925"/>
      <c r="SZI169" s="955"/>
      <c r="SZJ169" s="963"/>
      <c r="SZK169" s="2242"/>
      <c r="SZL169" s="1360"/>
      <c r="SZM169" s="955"/>
      <c r="SZN169" s="1361"/>
      <c r="SZO169" s="1360"/>
      <c r="SZP169" s="1925"/>
      <c r="SZQ169" s="955"/>
      <c r="SZR169" s="963"/>
      <c r="SZS169" s="2242"/>
      <c r="SZT169" s="1360"/>
      <c r="SZU169" s="955"/>
      <c r="SZV169" s="1361"/>
      <c r="SZW169" s="1360"/>
      <c r="SZX169" s="1925"/>
      <c r="SZY169" s="955"/>
      <c r="SZZ169" s="963"/>
      <c r="TAA169" s="2242"/>
      <c r="TAB169" s="1360"/>
      <c r="TAC169" s="955"/>
      <c r="TAD169" s="1361"/>
      <c r="TAE169" s="1360"/>
      <c r="TAF169" s="1925"/>
      <c r="TAG169" s="955"/>
      <c r="TAH169" s="963"/>
      <c r="TAI169" s="2242"/>
      <c r="TAJ169" s="1360"/>
      <c r="TAK169" s="955"/>
      <c r="TAL169" s="1361"/>
      <c r="TAM169" s="1360"/>
      <c r="TAN169" s="1925"/>
      <c r="TAO169" s="955"/>
      <c r="TAP169" s="963"/>
      <c r="TAQ169" s="2242"/>
      <c r="TAR169" s="1360"/>
      <c r="TAS169" s="955"/>
      <c r="TAT169" s="1361"/>
      <c r="TAU169" s="1360"/>
      <c r="TAV169" s="1925"/>
      <c r="TAW169" s="955"/>
      <c r="TAX169" s="963"/>
      <c r="TAY169" s="2242"/>
      <c r="TAZ169" s="1360"/>
      <c r="TBA169" s="955"/>
      <c r="TBB169" s="1361"/>
      <c r="TBC169" s="1360"/>
      <c r="TBD169" s="1925"/>
      <c r="TBE169" s="955"/>
      <c r="TBF169" s="963"/>
      <c r="TBG169" s="2242"/>
      <c r="TBH169" s="1360"/>
      <c r="TBI169" s="955"/>
      <c r="TBJ169" s="1361"/>
      <c r="TBK169" s="1360"/>
      <c r="TBL169" s="1925"/>
      <c r="TBM169" s="955"/>
      <c r="TBN169" s="963"/>
      <c r="TBO169" s="2242"/>
      <c r="TBP169" s="1360"/>
      <c r="TBQ169" s="955"/>
      <c r="TBR169" s="1361"/>
      <c r="TBS169" s="1360"/>
      <c r="TBT169" s="1925"/>
      <c r="TBU169" s="955"/>
      <c r="TBV169" s="963"/>
      <c r="TBW169" s="2242"/>
      <c r="TBX169" s="1360"/>
      <c r="TBY169" s="955"/>
      <c r="TBZ169" s="1361"/>
      <c r="TCA169" s="1360"/>
      <c r="TCB169" s="1925"/>
      <c r="TCC169" s="955"/>
      <c r="TCD169" s="963"/>
      <c r="TCE169" s="2242"/>
      <c r="TCF169" s="1360"/>
      <c r="TCG169" s="955"/>
      <c r="TCH169" s="1361"/>
      <c r="TCI169" s="1360"/>
      <c r="TCJ169" s="1925"/>
      <c r="TCK169" s="955"/>
      <c r="TCL169" s="963"/>
      <c r="TCM169" s="2242"/>
      <c r="TCN169" s="1360"/>
      <c r="TCO169" s="955"/>
      <c r="TCP169" s="1361"/>
      <c r="TCQ169" s="1360"/>
      <c r="TCR169" s="1925"/>
      <c r="TCS169" s="955"/>
      <c r="TCT169" s="963"/>
      <c r="TCU169" s="2242"/>
      <c r="TCV169" s="1360"/>
      <c r="TCW169" s="955"/>
      <c r="TCX169" s="1361"/>
      <c r="TCY169" s="1360"/>
      <c r="TCZ169" s="1925"/>
      <c r="TDA169" s="955"/>
      <c r="TDB169" s="963"/>
      <c r="TDC169" s="2242"/>
      <c r="TDD169" s="1360"/>
      <c r="TDE169" s="955"/>
      <c r="TDF169" s="1361"/>
      <c r="TDG169" s="1360"/>
      <c r="TDH169" s="1925"/>
      <c r="TDI169" s="955"/>
      <c r="TDJ169" s="963"/>
      <c r="TDK169" s="2242"/>
      <c r="TDL169" s="1360"/>
      <c r="TDM169" s="955"/>
      <c r="TDN169" s="1361"/>
      <c r="TDO169" s="1360"/>
      <c r="TDP169" s="1925"/>
      <c r="TDQ169" s="955"/>
      <c r="TDR169" s="963"/>
      <c r="TDS169" s="2242"/>
      <c r="TDT169" s="1360"/>
      <c r="TDU169" s="955"/>
      <c r="TDV169" s="1361"/>
      <c r="TDW169" s="1360"/>
      <c r="TDX169" s="1925"/>
      <c r="TDY169" s="955"/>
      <c r="TDZ169" s="963"/>
      <c r="TEA169" s="2242"/>
      <c r="TEB169" s="1360"/>
      <c r="TEC169" s="955"/>
      <c r="TED169" s="1361"/>
      <c r="TEE169" s="1360"/>
      <c r="TEF169" s="1925"/>
      <c r="TEG169" s="955"/>
      <c r="TEH169" s="963"/>
      <c r="TEI169" s="2242"/>
      <c r="TEJ169" s="1360"/>
      <c r="TEK169" s="955"/>
      <c r="TEL169" s="1361"/>
      <c r="TEM169" s="1360"/>
      <c r="TEN169" s="1925"/>
      <c r="TEO169" s="955"/>
      <c r="TEP169" s="963"/>
      <c r="TEQ169" s="2242"/>
      <c r="TER169" s="1360"/>
      <c r="TES169" s="955"/>
      <c r="TET169" s="1361"/>
      <c r="TEU169" s="1360"/>
      <c r="TEV169" s="1925"/>
      <c r="TEW169" s="955"/>
      <c r="TEX169" s="963"/>
      <c r="TEY169" s="2242"/>
      <c r="TEZ169" s="1360"/>
      <c r="TFA169" s="955"/>
      <c r="TFB169" s="1361"/>
      <c r="TFC169" s="1360"/>
      <c r="TFD169" s="1925"/>
      <c r="TFE169" s="955"/>
      <c r="TFF169" s="963"/>
      <c r="TFG169" s="2242"/>
      <c r="TFH169" s="1360"/>
      <c r="TFI169" s="955"/>
      <c r="TFJ169" s="1361"/>
      <c r="TFK169" s="1360"/>
      <c r="TFL169" s="1925"/>
      <c r="TFM169" s="955"/>
      <c r="TFN169" s="963"/>
      <c r="TFO169" s="2242"/>
      <c r="TFP169" s="1360"/>
      <c r="TFQ169" s="955"/>
      <c r="TFR169" s="1361"/>
      <c r="TFS169" s="1360"/>
      <c r="TFT169" s="1925"/>
      <c r="TFU169" s="955"/>
      <c r="TFV169" s="963"/>
      <c r="TFW169" s="2242"/>
      <c r="TFX169" s="1360"/>
      <c r="TFY169" s="955"/>
      <c r="TFZ169" s="1361"/>
      <c r="TGA169" s="1360"/>
      <c r="TGB169" s="1925"/>
      <c r="TGC169" s="955"/>
      <c r="TGD169" s="963"/>
      <c r="TGE169" s="2242"/>
      <c r="TGF169" s="1360"/>
      <c r="TGG169" s="955"/>
      <c r="TGH169" s="1361"/>
      <c r="TGI169" s="1360"/>
      <c r="TGJ169" s="1925"/>
      <c r="TGK169" s="955"/>
      <c r="TGL169" s="963"/>
      <c r="TGM169" s="2242"/>
      <c r="TGN169" s="1360"/>
      <c r="TGO169" s="955"/>
      <c r="TGP169" s="1361"/>
      <c r="TGQ169" s="1360"/>
      <c r="TGR169" s="1925"/>
      <c r="TGS169" s="955"/>
      <c r="TGT169" s="963"/>
      <c r="TGU169" s="2242"/>
      <c r="TGV169" s="1360"/>
      <c r="TGW169" s="955"/>
      <c r="TGX169" s="1361"/>
      <c r="TGY169" s="1360"/>
      <c r="TGZ169" s="1925"/>
      <c r="THA169" s="955"/>
      <c r="THB169" s="963"/>
      <c r="THC169" s="2242"/>
      <c r="THD169" s="1360"/>
      <c r="THE169" s="955"/>
      <c r="THF169" s="1361"/>
      <c r="THG169" s="1360"/>
      <c r="THH169" s="1925"/>
      <c r="THI169" s="955"/>
      <c r="THJ169" s="963"/>
      <c r="THK169" s="2242"/>
      <c r="THL169" s="1360"/>
      <c r="THM169" s="955"/>
      <c r="THN169" s="1361"/>
      <c r="THO169" s="1360"/>
      <c r="THP169" s="1925"/>
      <c r="THQ169" s="955"/>
      <c r="THR169" s="963"/>
      <c r="THS169" s="2242"/>
      <c r="THT169" s="1360"/>
      <c r="THU169" s="955"/>
      <c r="THV169" s="1361"/>
      <c r="THW169" s="1360"/>
      <c r="THX169" s="1925"/>
      <c r="THY169" s="955"/>
      <c r="THZ169" s="963"/>
      <c r="TIA169" s="2242"/>
      <c r="TIB169" s="1360"/>
      <c r="TIC169" s="955"/>
      <c r="TID169" s="1361"/>
      <c r="TIE169" s="1360"/>
      <c r="TIF169" s="1925"/>
      <c r="TIG169" s="955"/>
      <c r="TIH169" s="963"/>
      <c r="TII169" s="2242"/>
      <c r="TIJ169" s="1360"/>
      <c r="TIK169" s="955"/>
      <c r="TIL169" s="1361"/>
      <c r="TIM169" s="1360"/>
      <c r="TIN169" s="1925"/>
      <c r="TIO169" s="955"/>
      <c r="TIP169" s="963"/>
      <c r="TIQ169" s="2242"/>
      <c r="TIR169" s="1360"/>
      <c r="TIS169" s="955"/>
      <c r="TIT169" s="1361"/>
      <c r="TIU169" s="1360"/>
      <c r="TIV169" s="1925"/>
      <c r="TIW169" s="955"/>
      <c r="TIX169" s="963"/>
      <c r="TIY169" s="2242"/>
      <c r="TIZ169" s="1360"/>
      <c r="TJA169" s="955"/>
      <c r="TJB169" s="1361"/>
      <c r="TJC169" s="1360"/>
      <c r="TJD169" s="1925"/>
      <c r="TJE169" s="955"/>
      <c r="TJF169" s="963"/>
      <c r="TJG169" s="2242"/>
      <c r="TJH169" s="1360"/>
      <c r="TJI169" s="955"/>
      <c r="TJJ169" s="1361"/>
      <c r="TJK169" s="1360"/>
      <c r="TJL169" s="1925"/>
      <c r="TJM169" s="955"/>
      <c r="TJN169" s="963"/>
      <c r="TJO169" s="2242"/>
      <c r="TJP169" s="1360"/>
      <c r="TJQ169" s="955"/>
      <c r="TJR169" s="1361"/>
      <c r="TJS169" s="1360"/>
      <c r="TJT169" s="1925"/>
      <c r="TJU169" s="955"/>
      <c r="TJV169" s="963"/>
      <c r="TJW169" s="2242"/>
      <c r="TJX169" s="1360"/>
      <c r="TJY169" s="955"/>
      <c r="TJZ169" s="1361"/>
      <c r="TKA169" s="1360"/>
      <c r="TKB169" s="1925"/>
      <c r="TKC169" s="955"/>
      <c r="TKD169" s="963"/>
      <c r="TKE169" s="2242"/>
      <c r="TKF169" s="1360"/>
      <c r="TKG169" s="955"/>
      <c r="TKH169" s="1361"/>
      <c r="TKI169" s="1360"/>
      <c r="TKJ169" s="1925"/>
      <c r="TKK169" s="955"/>
      <c r="TKL169" s="963"/>
      <c r="TKM169" s="2242"/>
      <c r="TKN169" s="1360"/>
      <c r="TKO169" s="955"/>
      <c r="TKP169" s="1361"/>
      <c r="TKQ169" s="1360"/>
      <c r="TKR169" s="1925"/>
      <c r="TKS169" s="955"/>
      <c r="TKT169" s="963"/>
      <c r="TKU169" s="2242"/>
      <c r="TKV169" s="1360"/>
      <c r="TKW169" s="955"/>
      <c r="TKX169" s="1361"/>
      <c r="TKY169" s="1360"/>
      <c r="TKZ169" s="1925"/>
      <c r="TLA169" s="955"/>
      <c r="TLB169" s="963"/>
      <c r="TLC169" s="2242"/>
      <c r="TLD169" s="1360"/>
      <c r="TLE169" s="955"/>
      <c r="TLF169" s="1361"/>
      <c r="TLG169" s="1360"/>
      <c r="TLH169" s="1925"/>
      <c r="TLI169" s="955"/>
      <c r="TLJ169" s="963"/>
      <c r="TLK169" s="2242"/>
      <c r="TLL169" s="1360"/>
      <c r="TLM169" s="955"/>
      <c r="TLN169" s="1361"/>
      <c r="TLO169" s="1360"/>
      <c r="TLP169" s="1925"/>
      <c r="TLQ169" s="955"/>
      <c r="TLR169" s="963"/>
      <c r="TLS169" s="2242"/>
      <c r="TLT169" s="1360"/>
      <c r="TLU169" s="955"/>
      <c r="TLV169" s="1361"/>
      <c r="TLW169" s="1360"/>
      <c r="TLX169" s="1925"/>
      <c r="TLY169" s="955"/>
      <c r="TLZ169" s="963"/>
      <c r="TMA169" s="2242"/>
      <c r="TMB169" s="1360"/>
      <c r="TMC169" s="955"/>
      <c r="TMD169" s="1361"/>
      <c r="TME169" s="1360"/>
      <c r="TMF169" s="1925"/>
      <c r="TMG169" s="955"/>
      <c r="TMH169" s="963"/>
      <c r="TMI169" s="2242"/>
      <c r="TMJ169" s="1360"/>
      <c r="TMK169" s="955"/>
      <c r="TML169" s="1361"/>
      <c r="TMM169" s="1360"/>
      <c r="TMN169" s="1925"/>
      <c r="TMO169" s="955"/>
      <c r="TMP169" s="963"/>
      <c r="TMQ169" s="2242"/>
      <c r="TMR169" s="1360"/>
      <c r="TMS169" s="955"/>
      <c r="TMT169" s="1361"/>
      <c r="TMU169" s="1360"/>
      <c r="TMV169" s="1925"/>
      <c r="TMW169" s="955"/>
      <c r="TMX169" s="963"/>
      <c r="TMY169" s="2242"/>
      <c r="TMZ169" s="1360"/>
      <c r="TNA169" s="955"/>
      <c r="TNB169" s="1361"/>
      <c r="TNC169" s="1360"/>
      <c r="TND169" s="1925"/>
      <c r="TNE169" s="955"/>
      <c r="TNF169" s="963"/>
      <c r="TNG169" s="2242"/>
      <c r="TNH169" s="1360"/>
      <c r="TNI169" s="955"/>
      <c r="TNJ169" s="1361"/>
      <c r="TNK169" s="1360"/>
      <c r="TNL169" s="1925"/>
      <c r="TNM169" s="955"/>
      <c r="TNN169" s="963"/>
      <c r="TNO169" s="2242"/>
      <c r="TNP169" s="1360"/>
      <c r="TNQ169" s="955"/>
      <c r="TNR169" s="1361"/>
      <c r="TNS169" s="1360"/>
      <c r="TNT169" s="1925"/>
      <c r="TNU169" s="955"/>
      <c r="TNV169" s="963"/>
      <c r="TNW169" s="2242"/>
      <c r="TNX169" s="1360"/>
      <c r="TNY169" s="955"/>
      <c r="TNZ169" s="1361"/>
      <c r="TOA169" s="1360"/>
      <c r="TOB169" s="1925"/>
      <c r="TOC169" s="955"/>
      <c r="TOD169" s="963"/>
      <c r="TOE169" s="2242"/>
      <c r="TOF169" s="1360"/>
      <c r="TOG169" s="955"/>
      <c r="TOH169" s="1361"/>
      <c r="TOI169" s="1360"/>
      <c r="TOJ169" s="1925"/>
      <c r="TOK169" s="955"/>
      <c r="TOL169" s="963"/>
      <c r="TOM169" s="2242"/>
      <c r="TON169" s="1360"/>
      <c r="TOO169" s="955"/>
      <c r="TOP169" s="1361"/>
      <c r="TOQ169" s="1360"/>
      <c r="TOR169" s="1925"/>
      <c r="TOS169" s="955"/>
      <c r="TOT169" s="963"/>
      <c r="TOU169" s="2242"/>
      <c r="TOV169" s="1360"/>
      <c r="TOW169" s="955"/>
      <c r="TOX169" s="1361"/>
      <c r="TOY169" s="1360"/>
      <c r="TOZ169" s="1925"/>
      <c r="TPA169" s="955"/>
      <c r="TPB169" s="963"/>
      <c r="TPC169" s="2242"/>
      <c r="TPD169" s="1360"/>
      <c r="TPE169" s="955"/>
      <c r="TPF169" s="1361"/>
      <c r="TPG169" s="1360"/>
      <c r="TPH169" s="1925"/>
      <c r="TPI169" s="955"/>
      <c r="TPJ169" s="963"/>
      <c r="TPK169" s="2242"/>
      <c r="TPL169" s="1360"/>
      <c r="TPM169" s="955"/>
      <c r="TPN169" s="1361"/>
      <c r="TPO169" s="1360"/>
      <c r="TPP169" s="1925"/>
      <c r="TPQ169" s="955"/>
      <c r="TPR169" s="963"/>
      <c r="TPS169" s="2242"/>
      <c r="TPT169" s="1360"/>
      <c r="TPU169" s="955"/>
      <c r="TPV169" s="1361"/>
      <c r="TPW169" s="1360"/>
      <c r="TPX169" s="1925"/>
      <c r="TPY169" s="955"/>
      <c r="TPZ169" s="963"/>
      <c r="TQA169" s="2242"/>
      <c r="TQB169" s="1360"/>
      <c r="TQC169" s="955"/>
      <c r="TQD169" s="1361"/>
      <c r="TQE169" s="1360"/>
      <c r="TQF169" s="1925"/>
      <c r="TQG169" s="955"/>
      <c r="TQH169" s="963"/>
      <c r="TQI169" s="2242"/>
      <c r="TQJ169" s="1360"/>
      <c r="TQK169" s="955"/>
      <c r="TQL169" s="1361"/>
      <c r="TQM169" s="1360"/>
      <c r="TQN169" s="1925"/>
      <c r="TQO169" s="955"/>
      <c r="TQP169" s="963"/>
      <c r="TQQ169" s="2242"/>
      <c r="TQR169" s="1360"/>
      <c r="TQS169" s="955"/>
      <c r="TQT169" s="1361"/>
      <c r="TQU169" s="1360"/>
      <c r="TQV169" s="1925"/>
      <c r="TQW169" s="955"/>
      <c r="TQX169" s="963"/>
      <c r="TQY169" s="2242"/>
      <c r="TQZ169" s="1360"/>
      <c r="TRA169" s="955"/>
      <c r="TRB169" s="1361"/>
      <c r="TRC169" s="1360"/>
      <c r="TRD169" s="1925"/>
      <c r="TRE169" s="955"/>
      <c r="TRF169" s="963"/>
      <c r="TRG169" s="2242"/>
      <c r="TRH169" s="1360"/>
      <c r="TRI169" s="955"/>
      <c r="TRJ169" s="1361"/>
      <c r="TRK169" s="1360"/>
      <c r="TRL169" s="1925"/>
      <c r="TRM169" s="955"/>
      <c r="TRN169" s="963"/>
      <c r="TRO169" s="2242"/>
      <c r="TRP169" s="1360"/>
      <c r="TRQ169" s="955"/>
      <c r="TRR169" s="1361"/>
      <c r="TRS169" s="1360"/>
      <c r="TRT169" s="1925"/>
      <c r="TRU169" s="955"/>
      <c r="TRV169" s="963"/>
      <c r="TRW169" s="2242"/>
      <c r="TRX169" s="1360"/>
      <c r="TRY169" s="955"/>
      <c r="TRZ169" s="1361"/>
      <c r="TSA169" s="1360"/>
      <c r="TSB169" s="1925"/>
      <c r="TSC169" s="955"/>
      <c r="TSD169" s="963"/>
      <c r="TSE169" s="2242"/>
      <c r="TSF169" s="1360"/>
      <c r="TSG169" s="955"/>
      <c r="TSH169" s="1361"/>
      <c r="TSI169" s="1360"/>
      <c r="TSJ169" s="1925"/>
      <c r="TSK169" s="955"/>
      <c r="TSL169" s="963"/>
      <c r="TSM169" s="2242"/>
      <c r="TSN169" s="1360"/>
      <c r="TSO169" s="955"/>
      <c r="TSP169" s="1361"/>
      <c r="TSQ169" s="1360"/>
      <c r="TSR169" s="1925"/>
      <c r="TSS169" s="955"/>
      <c r="TST169" s="963"/>
      <c r="TSU169" s="2242"/>
      <c r="TSV169" s="1360"/>
      <c r="TSW169" s="955"/>
      <c r="TSX169" s="1361"/>
      <c r="TSY169" s="1360"/>
      <c r="TSZ169" s="1925"/>
      <c r="TTA169" s="955"/>
      <c r="TTB169" s="963"/>
      <c r="TTC169" s="2242"/>
      <c r="TTD169" s="1360"/>
      <c r="TTE169" s="955"/>
      <c r="TTF169" s="1361"/>
      <c r="TTG169" s="1360"/>
      <c r="TTH169" s="1925"/>
      <c r="TTI169" s="955"/>
      <c r="TTJ169" s="963"/>
      <c r="TTK169" s="2242"/>
      <c r="TTL169" s="1360"/>
      <c r="TTM169" s="955"/>
      <c r="TTN169" s="1361"/>
      <c r="TTO169" s="1360"/>
      <c r="TTP169" s="1925"/>
      <c r="TTQ169" s="955"/>
      <c r="TTR169" s="963"/>
      <c r="TTS169" s="2242"/>
      <c r="TTT169" s="1360"/>
      <c r="TTU169" s="955"/>
      <c r="TTV169" s="1361"/>
      <c r="TTW169" s="1360"/>
      <c r="TTX169" s="1925"/>
      <c r="TTY169" s="955"/>
      <c r="TTZ169" s="963"/>
      <c r="TUA169" s="2242"/>
      <c r="TUB169" s="1360"/>
      <c r="TUC169" s="955"/>
      <c r="TUD169" s="1361"/>
      <c r="TUE169" s="1360"/>
      <c r="TUF169" s="1925"/>
      <c r="TUG169" s="955"/>
      <c r="TUH169" s="963"/>
      <c r="TUI169" s="2242"/>
      <c r="TUJ169" s="1360"/>
      <c r="TUK169" s="955"/>
      <c r="TUL169" s="1361"/>
      <c r="TUM169" s="1360"/>
      <c r="TUN169" s="1925"/>
      <c r="TUO169" s="955"/>
      <c r="TUP169" s="963"/>
      <c r="TUQ169" s="2242"/>
      <c r="TUR169" s="1360"/>
      <c r="TUS169" s="955"/>
      <c r="TUT169" s="1361"/>
      <c r="TUU169" s="1360"/>
      <c r="TUV169" s="1925"/>
      <c r="TUW169" s="955"/>
      <c r="TUX169" s="963"/>
      <c r="TUY169" s="2242"/>
      <c r="TUZ169" s="1360"/>
      <c r="TVA169" s="955"/>
      <c r="TVB169" s="1361"/>
      <c r="TVC169" s="1360"/>
      <c r="TVD169" s="1925"/>
      <c r="TVE169" s="955"/>
      <c r="TVF169" s="963"/>
      <c r="TVG169" s="2242"/>
      <c r="TVH169" s="1360"/>
      <c r="TVI169" s="955"/>
      <c r="TVJ169" s="1361"/>
      <c r="TVK169" s="1360"/>
      <c r="TVL169" s="1925"/>
      <c r="TVM169" s="955"/>
      <c r="TVN169" s="963"/>
      <c r="TVO169" s="2242"/>
      <c r="TVP169" s="1360"/>
      <c r="TVQ169" s="955"/>
      <c r="TVR169" s="1361"/>
      <c r="TVS169" s="1360"/>
      <c r="TVT169" s="1925"/>
      <c r="TVU169" s="955"/>
      <c r="TVV169" s="963"/>
      <c r="TVW169" s="2242"/>
      <c r="TVX169" s="1360"/>
      <c r="TVY169" s="955"/>
      <c r="TVZ169" s="1361"/>
      <c r="TWA169" s="1360"/>
      <c r="TWB169" s="1925"/>
      <c r="TWC169" s="955"/>
      <c r="TWD169" s="963"/>
      <c r="TWE169" s="2242"/>
      <c r="TWF169" s="1360"/>
      <c r="TWG169" s="955"/>
      <c r="TWH169" s="1361"/>
      <c r="TWI169" s="1360"/>
      <c r="TWJ169" s="1925"/>
      <c r="TWK169" s="955"/>
      <c r="TWL169" s="963"/>
      <c r="TWM169" s="2242"/>
      <c r="TWN169" s="1360"/>
      <c r="TWO169" s="955"/>
      <c r="TWP169" s="1361"/>
      <c r="TWQ169" s="1360"/>
      <c r="TWR169" s="1925"/>
      <c r="TWS169" s="955"/>
      <c r="TWT169" s="963"/>
      <c r="TWU169" s="2242"/>
      <c r="TWV169" s="1360"/>
      <c r="TWW169" s="955"/>
      <c r="TWX169" s="1361"/>
      <c r="TWY169" s="1360"/>
      <c r="TWZ169" s="1925"/>
      <c r="TXA169" s="955"/>
      <c r="TXB169" s="963"/>
      <c r="TXC169" s="2242"/>
      <c r="TXD169" s="1360"/>
      <c r="TXE169" s="955"/>
      <c r="TXF169" s="1361"/>
      <c r="TXG169" s="1360"/>
      <c r="TXH169" s="1925"/>
      <c r="TXI169" s="955"/>
      <c r="TXJ169" s="963"/>
      <c r="TXK169" s="2242"/>
      <c r="TXL169" s="1360"/>
      <c r="TXM169" s="955"/>
      <c r="TXN169" s="1361"/>
      <c r="TXO169" s="1360"/>
      <c r="TXP169" s="1925"/>
      <c r="TXQ169" s="955"/>
      <c r="TXR169" s="963"/>
      <c r="TXS169" s="2242"/>
      <c r="TXT169" s="1360"/>
      <c r="TXU169" s="955"/>
      <c r="TXV169" s="1361"/>
      <c r="TXW169" s="1360"/>
      <c r="TXX169" s="1925"/>
      <c r="TXY169" s="955"/>
      <c r="TXZ169" s="963"/>
      <c r="TYA169" s="2242"/>
      <c r="TYB169" s="1360"/>
      <c r="TYC169" s="955"/>
      <c r="TYD169" s="1361"/>
      <c r="TYE169" s="1360"/>
      <c r="TYF169" s="1925"/>
      <c r="TYG169" s="955"/>
      <c r="TYH169" s="963"/>
      <c r="TYI169" s="2242"/>
      <c r="TYJ169" s="1360"/>
      <c r="TYK169" s="955"/>
      <c r="TYL169" s="1361"/>
      <c r="TYM169" s="1360"/>
      <c r="TYN169" s="1925"/>
      <c r="TYO169" s="955"/>
      <c r="TYP169" s="963"/>
      <c r="TYQ169" s="2242"/>
      <c r="TYR169" s="1360"/>
      <c r="TYS169" s="955"/>
      <c r="TYT169" s="1361"/>
      <c r="TYU169" s="1360"/>
      <c r="TYV169" s="1925"/>
      <c r="TYW169" s="955"/>
      <c r="TYX169" s="963"/>
      <c r="TYY169" s="2242"/>
      <c r="TYZ169" s="1360"/>
      <c r="TZA169" s="955"/>
      <c r="TZB169" s="1361"/>
      <c r="TZC169" s="1360"/>
      <c r="TZD169" s="1925"/>
      <c r="TZE169" s="955"/>
      <c r="TZF169" s="963"/>
      <c r="TZG169" s="2242"/>
      <c r="TZH169" s="1360"/>
      <c r="TZI169" s="955"/>
      <c r="TZJ169" s="1361"/>
      <c r="TZK169" s="1360"/>
      <c r="TZL169" s="1925"/>
      <c r="TZM169" s="955"/>
      <c r="TZN169" s="963"/>
      <c r="TZO169" s="2242"/>
      <c r="TZP169" s="1360"/>
      <c r="TZQ169" s="955"/>
      <c r="TZR169" s="1361"/>
      <c r="TZS169" s="1360"/>
      <c r="TZT169" s="1925"/>
      <c r="TZU169" s="955"/>
      <c r="TZV169" s="963"/>
      <c r="TZW169" s="2242"/>
      <c r="TZX169" s="1360"/>
      <c r="TZY169" s="955"/>
      <c r="TZZ169" s="1361"/>
      <c r="UAA169" s="1360"/>
      <c r="UAB169" s="1925"/>
      <c r="UAC169" s="955"/>
      <c r="UAD169" s="963"/>
      <c r="UAE169" s="2242"/>
      <c r="UAF169" s="1360"/>
      <c r="UAG169" s="955"/>
      <c r="UAH169" s="1361"/>
      <c r="UAI169" s="1360"/>
      <c r="UAJ169" s="1925"/>
      <c r="UAK169" s="955"/>
      <c r="UAL169" s="963"/>
      <c r="UAM169" s="2242"/>
      <c r="UAN169" s="1360"/>
      <c r="UAO169" s="955"/>
      <c r="UAP169" s="1361"/>
      <c r="UAQ169" s="1360"/>
      <c r="UAR169" s="1925"/>
      <c r="UAS169" s="955"/>
      <c r="UAT169" s="963"/>
      <c r="UAU169" s="2242"/>
      <c r="UAV169" s="1360"/>
      <c r="UAW169" s="955"/>
      <c r="UAX169" s="1361"/>
      <c r="UAY169" s="1360"/>
      <c r="UAZ169" s="1925"/>
      <c r="UBA169" s="955"/>
      <c r="UBB169" s="963"/>
      <c r="UBC169" s="2242"/>
      <c r="UBD169" s="1360"/>
      <c r="UBE169" s="955"/>
      <c r="UBF169" s="1361"/>
      <c r="UBG169" s="1360"/>
      <c r="UBH169" s="1925"/>
      <c r="UBI169" s="955"/>
      <c r="UBJ169" s="963"/>
      <c r="UBK169" s="2242"/>
      <c r="UBL169" s="1360"/>
      <c r="UBM169" s="955"/>
      <c r="UBN169" s="1361"/>
      <c r="UBO169" s="1360"/>
      <c r="UBP169" s="1925"/>
      <c r="UBQ169" s="955"/>
      <c r="UBR169" s="963"/>
      <c r="UBS169" s="2242"/>
      <c r="UBT169" s="1360"/>
      <c r="UBU169" s="955"/>
      <c r="UBV169" s="1361"/>
      <c r="UBW169" s="1360"/>
      <c r="UBX169" s="1925"/>
      <c r="UBY169" s="955"/>
      <c r="UBZ169" s="963"/>
      <c r="UCA169" s="2242"/>
      <c r="UCB169" s="1360"/>
      <c r="UCC169" s="955"/>
      <c r="UCD169" s="1361"/>
      <c r="UCE169" s="1360"/>
      <c r="UCF169" s="1925"/>
      <c r="UCG169" s="955"/>
      <c r="UCH169" s="963"/>
      <c r="UCI169" s="2242"/>
      <c r="UCJ169" s="1360"/>
      <c r="UCK169" s="955"/>
      <c r="UCL169" s="1361"/>
      <c r="UCM169" s="1360"/>
      <c r="UCN169" s="1925"/>
      <c r="UCO169" s="955"/>
      <c r="UCP169" s="963"/>
      <c r="UCQ169" s="2242"/>
      <c r="UCR169" s="1360"/>
      <c r="UCS169" s="955"/>
      <c r="UCT169" s="1361"/>
      <c r="UCU169" s="1360"/>
      <c r="UCV169" s="1925"/>
      <c r="UCW169" s="955"/>
      <c r="UCX169" s="963"/>
      <c r="UCY169" s="2242"/>
      <c r="UCZ169" s="1360"/>
      <c r="UDA169" s="955"/>
      <c r="UDB169" s="1361"/>
      <c r="UDC169" s="1360"/>
      <c r="UDD169" s="1925"/>
      <c r="UDE169" s="955"/>
      <c r="UDF169" s="963"/>
      <c r="UDG169" s="2242"/>
      <c r="UDH169" s="1360"/>
      <c r="UDI169" s="955"/>
      <c r="UDJ169" s="1361"/>
      <c r="UDK169" s="1360"/>
      <c r="UDL169" s="1925"/>
      <c r="UDM169" s="955"/>
      <c r="UDN169" s="963"/>
      <c r="UDO169" s="2242"/>
      <c r="UDP169" s="1360"/>
      <c r="UDQ169" s="955"/>
      <c r="UDR169" s="1361"/>
      <c r="UDS169" s="1360"/>
      <c r="UDT169" s="1925"/>
      <c r="UDU169" s="955"/>
      <c r="UDV169" s="963"/>
      <c r="UDW169" s="2242"/>
      <c r="UDX169" s="1360"/>
      <c r="UDY169" s="955"/>
      <c r="UDZ169" s="1361"/>
      <c r="UEA169" s="1360"/>
      <c r="UEB169" s="1925"/>
      <c r="UEC169" s="955"/>
      <c r="UED169" s="963"/>
      <c r="UEE169" s="2242"/>
      <c r="UEF169" s="1360"/>
      <c r="UEG169" s="955"/>
      <c r="UEH169" s="1361"/>
      <c r="UEI169" s="1360"/>
      <c r="UEJ169" s="1925"/>
      <c r="UEK169" s="955"/>
      <c r="UEL169" s="963"/>
      <c r="UEM169" s="2242"/>
      <c r="UEN169" s="1360"/>
      <c r="UEO169" s="955"/>
      <c r="UEP169" s="1361"/>
      <c r="UEQ169" s="1360"/>
      <c r="UER169" s="1925"/>
      <c r="UES169" s="955"/>
      <c r="UET169" s="963"/>
      <c r="UEU169" s="2242"/>
      <c r="UEV169" s="1360"/>
      <c r="UEW169" s="955"/>
      <c r="UEX169" s="1361"/>
      <c r="UEY169" s="1360"/>
      <c r="UEZ169" s="1925"/>
      <c r="UFA169" s="955"/>
      <c r="UFB169" s="963"/>
      <c r="UFC169" s="2242"/>
      <c r="UFD169" s="1360"/>
      <c r="UFE169" s="955"/>
      <c r="UFF169" s="1361"/>
      <c r="UFG169" s="1360"/>
      <c r="UFH169" s="1925"/>
      <c r="UFI169" s="955"/>
      <c r="UFJ169" s="963"/>
      <c r="UFK169" s="2242"/>
      <c r="UFL169" s="1360"/>
      <c r="UFM169" s="955"/>
      <c r="UFN169" s="1361"/>
      <c r="UFO169" s="1360"/>
      <c r="UFP169" s="1925"/>
      <c r="UFQ169" s="955"/>
      <c r="UFR169" s="963"/>
      <c r="UFS169" s="2242"/>
      <c r="UFT169" s="1360"/>
      <c r="UFU169" s="955"/>
      <c r="UFV169" s="1361"/>
      <c r="UFW169" s="1360"/>
      <c r="UFX169" s="1925"/>
      <c r="UFY169" s="955"/>
      <c r="UFZ169" s="963"/>
      <c r="UGA169" s="2242"/>
      <c r="UGB169" s="1360"/>
      <c r="UGC169" s="955"/>
      <c r="UGD169" s="1361"/>
      <c r="UGE169" s="1360"/>
      <c r="UGF169" s="1925"/>
      <c r="UGG169" s="955"/>
      <c r="UGH169" s="963"/>
      <c r="UGI169" s="2242"/>
      <c r="UGJ169" s="1360"/>
      <c r="UGK169" s="955"/>
      <c r="UGL169" s="1361"/>
      <c r="UGM169" s="1360"/>
      <c r="UGN169" s="1925"/>
      <c r="UGO169" s="955"/>
      <c r="UGP169" s="963"/>
      <c r="UGQ169" s="2242"/>
      <c r="UGR169" s="1360"/>
      <c r="UGS169" s="955"/>
      <c r="UGT169" s="1361"/>
      <c r="UGU169" s="1360"/>
      <c r="UGV169" s="1925"/>
      <c r="UGW169" s="955"/>
      <c r="UGX169" s="963"/>
      <c r="UGY169" s="2242"/>
      <c r="UGZ169" s="1360"/>
      <c r="UHA169" s="955"/>
      <c r="UHB169" s="1361"/>
      <c r="UHC169" s="1360"/>
      <c r="UHD169" s="1925"/>
      <c r="UHE169" s="955"/>
      <c r="UHF169" s="963"/>
      <c r="UHG169" s="2242"/>
      <c r="UHH169" s="1360"/>
      <c r="UHI169" s="955"/>
      <c r="UHJ169" s="1361"/>
      <c r="UHK169" s="1360"/>
      <c r="UHL169" s="1925"/>
      <c r="UHM169" s="955"/>
      <c r="UHN169" s="963"/>
      <c r="UHO169" s="2242"/>
      <c r="UHP169" s="1360"/>
      <c r="UHQ169" s="955"/>
      <c r="UHR169" s="1361"/>
      <c r="UHS169" s="1360"/>
      <c r="UHT169" s="1925"/>
      <c r="UHU169" s="955"/>
      <c r="UHV169" s="963"/>
      <c r="UHW169" s="2242"/>
      <c r="UHX169" s="1360"/>
      <c r="UHY169" s="955"/>
      <c r="UHZ169" s="1361"/>
      <c r="UIA169" s="1360"/>
      <c r="UIB169" s="1925"/>
      <c r="UIC169" s="955"/>
      <c r="UID169" s="963"/>
      <c r="UIE169" s="2242"/>
      <c r="UIF169" s="1360"/>
      <c r="UIG169" s="955"/>
      <c r="UIH169" s="1361"/>
      <c r="UII169" s="1360"/>
      <c r="UIJ169" s="1925"/>
      <c r="UIK169" s="955"/>
      <c r="UIL169" s="963"/>
      <c r="UIM169" s="2242"/>
      <c r="UIN169" s="1360"/>
      <c r="UIO169" s="955"/>
      <c r="UIP169" s="1361"/>
      <c r="UIQ169" s="1360"/>
      <c r="UIR169" s="1925"/>
      <c r="UIS169" s="955"/>
      <c r="UIT169" s="963"/>
      <c r="UIU169" s="2242"/>
      <c r="UIV169" s="1360"/>
      <c r="UIW169" s="955"/>
      <c r="UIX169" s="1361"/>
      <c r="UIY169" s="1360"/>
      <c r="UIZ169" s="1925"/>
      <c r="UJA169" s="955"/>
      <c r="UJB169" s="963"/>
      <c r="UJC169" s="2242"/>
      <c r="UJD169" s="1360"/>
      <c r="UJE169" s="955"/>
      <c r="UJF169" s="1361"/>
      <c r="UJG169" s="1360"/>
      <c r="UJH169" s="1925"/>
      <c r="UJI169" s="955"/>
      <c r="UJJ169" s="963"/>
      <c r="UJK169" s="2242"/>
      <c r="UJL169" s="1360"/>
      <c r="UJM169" s="955"/>
      <c r="UJN169" s="1361"/>
      <c r="UJO169" s="1360"/>
      <c r="UJP169" s="1925"/>
      <c r="UJQ169" s="955"/>
      <c r="UJR169" s="963"/>
      <c r="UJS169" s="2242"/>
      <c r="UJT169" s="1360"/>
      <c r="UJU169" s="955"/>
      <c r="UJV169" s="1361"/>
      <c r="UJW169" s="1360"/>
      <c r="UJX169" s="1925"/>
      <c r="UJY169" s="955"/>
      <c r="UJZ169" s="963"/>
      <c r="UKA169" s="2242"/>
      <c r="UKB169" s="1360"/>
      <c r="UKC169" s="955"/>
      <c r="UKD169" s="1361"/>
      <c r="UKE169" s="1360"/>
      <c r="UKF169" s="1925"/>
      <c r="UKG169" s="955"/>
      <c r="UKH169" s="963"/>
      <c r="UKI169" s="2242"/>
      <c r="UKJ169" s="1360"/>
      <c r="UKK169" s="955"/>
      <c r="UKL169" s="1361"/>
      <c r="UKM169" s="1360"/>
      <c r="UKN169" s="1925"/>
      <c r="UKO169" s="955"/>
      <c r="UKP169" s="963"/>
      <c r="UKQ169" s="2242"/>
      <c r="UKR169" s="1360"/>
      <c r="UKS169" s="955"/>
      <c r="UKT169" s="1361"/>
      <c r="UKU169" s="1360"/>
      <c r="UKV169" s="1925"/>
      <c r="UKW169" s="955"/>
      <c r="UKX169" s="963"/>
      <c r="UKY169" s="2242"/>
      <c r="UKZ169" s="1360"/>
      <c r="ULA169" s="955"/>
      <c r="ULB169" s="1361"/>
      <c r="ULC169" s="1360"/>
      <c r="ULD169" s="1925"/>
      <c r="ULE169" s="955"/>
      <c r="ULF169" s="963"/>
      <c r="ULG169" s="2242"/>
      <c r="ULH169" s="1360"/>
      <c r="ULI169" s="955"/>
      <c r="ULJ169" s="1361"/>
      <c r="ULK169" s="1360"/>
      <c r="ULL169" s="1925"/>
      <c r="ULM169" s="955"/>
      <c r="ULN169" s="963"/>
      <c r="ULO169" s="2242"/>
      <c r="ULP169" s="1360"/>
      <c r="ULQ169" s="955"/>
      <c r="ULR169" s="1361"/>
      <c r="ULS169" s="1360"/>
      <c r="ULT169" s="1925"/>
      <c r="ULU169" s="955"/>
      <c r="ULV169" s="963"/>
      <c r="ULW169" s="2242"/>
      <c r="ULX169" s="1360"/>
      <c r="ULY169" s="955"/>
      <c r="ULZ169" s="1361"/>
      <c r="UMA169" s="1360"/>
      <c r="UMB169" s="1925"/>
      <c r="UMC169" s="955"/>
      <c r="UMD169" s="963"/>
      <c r="UME169" s="2242"/>
      <c r="UMF169" s="1360"/>
      <c r="UMG169" s="955"/>
      <c r="UMH169" s="1361"/>
      <c r="UMI169" s="1360"/>
      <c r="UMJ169" s="1925"/>
      <c r="UMK169" s="955"/>
      <c r="UML169" s="963"/>
      <c r="UMM169" s="2242"/>
      <c r="UMN169" s="1360"/>
      <c r="UMO169" s="955"/>
      <c r="UMP169" s="1361"/>
      <c r="UMQ169" s="1360"/>
      <c r="UMR169" s="1925"/>
      <c r="UMS169" s="955"/>
      <c r="UMT169" s="963"/>
      <c r="UMU169" s="2242"/>
      <c r="UMV169" s="1360"/>
      <c r="UMW169" s="955"/>
      <c r="UMX169" s="1361"/>
      <c r="UMY169" s="1360"/>
      <c r="UMZ169" s="1925"/>
      <c r="UNA169" s="955"/>
      <c r="UNB169" s="963"/>
      <c r="UNC169" s="2242"/>
      <c r="UND169" s="1360"/>
      <c r="UNE169" s="955"/>
      <c r="UNF169" s="1361"/>
      <c r="UNG169" s="1360"/>
      <c r="UNH169" s="1925"/>
      <c r="UNI169" s="955"/>
      <c r="UNJ169" s="963"/>
      <c r="UNK169" s="2242"/>
      <c r="UNL169" s="1360"/>
      <c r="UNM169" s="955"/>
      <c r="UNN169" s="1361"/>
      <c r="UNO169" s="1360"/>
      <c r="UNP169" s="1925"/>
      <c r="UNQ169" s="955"/>
      <c r="UNR169" s="963"/>
      <c r="UNS169" s="2242"/>
      <c r="UNT169" s="1360"/>
      <c r="UNU169" s="955"/>
      <c r="UNV169" s="1361"/>
      <c r="UNW169" s="1360"/>
      <c r="UNX169" s="1925"/>
      <c r="UNY169" s="955"/>
      <c r="UNZ169" s="963"/>
      <c r="UOA169" s="2242"/>
      <c r="UOB169" s="1360"/>
      <c r="UOC169" s="955"/>
      <c r="UOD169" s="1361"/>
      <c r="UOE169" s="1360"/>
      <c r="UOF169" s="1925"/>
      <c r="UOG169" s="955"/>
      <c r="UOH169" s="963"/>
      <c r="UOI169" s="2242"/>
      <c r="UOJ169" s="1360"/>
      <c r="UOK169" s="955"/>
      <c r="UOL169" s="1361"/>
      <c r="UOM169" s="1360"/>
      <c r="UON169" s="1925"/>
      <c r="UOO169" s="955"/>
      <c r="UOP169" s="963"/>
      <c r="UOQ169" s="2242"/>
      <c r="UOR169" s="1360"/>
      <c r="UOS169" s="955"/>
      <c r="UOT169" s="1361"/>
      <c r="UOU169" s="1360"/>
      <c r="UOV169" s="1925"/>
      <c r="UOW169" s="955"/>
      <c r="UOX169" s="963"/>
      <c r="UOY169" s="2242"/>
      <c r="UOZ169" s="1360"/>
      <c r="UPA169" s="955"/>
      <c r="UPB169" s="1361"/>
      <c r="UPC169" s="1360"/>
      <c r="UPD169" s="1925"/>
      <c r="UPE169" s="955"/>
      <c r="UPF169" s="963"/>
      <c r="UPG169" s="2242"/>
      <c r="UPH169" s="1360"/>
      <c r="UPI169" s="955"/>
      <c r="UPJ169" s="1361"/>
      <c r="UPK169" s="1360"/>
      <c r="UPL169" s="1925"/>
      <c r="UPM169" s="955"/>
      <c r="UPN169" s="963"/>
      <c r="UPO169" s="2242"/>
      <c r="UPP169" s="1360"/>
      <c r="UPQ169" s="955"/>
      <c r="UPR169" s="1361"/>
      <c r="UPS169" s="1360"/>
      <c r="UPT169" s="1925"/>
      <c r="UPU169" s="955"/>
      <c r="UPV169" s="963"/>
      <c r="UPW169" s="2242"/>
      <c r="UPX169" s="1360"/>
      <c r="UPY169" s="955"/>
      <c r="UPZ169" s="1361"/>
      <c r="UQA169" s="1360"/>
      <c r="UQB169" s="1925"/>
      <c r="UQC169" s="955"/>
      <c r="UQD169" s="963"/>
      <c r="UQE169" s="2242"/>
      <c r="UQF169" s="1360"/>
      <c r="UQG169" s="955"/>
      <c r="UQH169" s="1361"/>
      <c r="UQI169" s="1360"/>
      <c r="UQJ169" s="1925"/>
      <c r="UQK169" s="955"/>
      <c r="UQL169" s="963"/>
      <c r="UQM169" s="2242"/>
      <c r="UQN169" s="1360"/>
      <c r="UQO169" s="955"/>
      <c r="UQP169" s="1361"/>
      <c r="UQQ169" s="1360"/>
      <c r="UQR169" s="1925"/>
      <c r="UQS169" s="955"/>
      <c r="UQT169" s="963"/>
      <c r="UQU169" s="2242"/>
      <c r="UQV169" s="1360"/>
      <c r="UQW169" s="955"/>
      <c r="UQX169" s="1361"/>
      <c r="UQY169" s="1360"/>
      <c r="UQZ169" s="1925"/>
      <c r="URA169" s="955"/>
      <c r="URB169" s="963"/>
      <c r="URC169" s="2242"/>
      <c r="URD169" s="1360"/>
      <c r="URE169" s="955"/>
      <c r="URF169" s="1361"/>
      <c r="URG169" s="1360"/>
      <c r="URH169" s="1925"/>
      <c r="URI169" s="955"/>
      <c r="URJ169" s="963"/>
      <c r="URK169" s="2242"/>
      <c r="URL169" s="1360"/>
      <c r="URM169" s="955"/>
      <c r="URN169" s="1361"/>
      <c r="URO169" s="1360"/>
      <c r="URP169" s="1925"/>
      <c r="URQ169" s="955"/>
      <c r="URR169" s="963"/>
      <c r="URS169" s="2242"/>
      <c r="URT169" s="1360"/>
      <c r="URU169" s="955"/>
      <c r="URV169" s="1361"/>
      <c r="URW169" s="1360"/>
      <c r="URX169" s="1925"/>
      <c r="URY169" s="955"/>
      <c r="URZ169" s="963"/>
      <c r="USA169" s="2242"/>
      <c r="USB169" s="1360"/>
      <c r="USC169" s="955"/>
      <c r="USD169" s="1361"/>
      <c r="USE169" s="1360"/>
      <c r="USF169" s="1925"/>
      <c r="USG169" s="955"/>
      <c r="USH169" s="963"/>
      <c r="USI169" s="2242"/>
      <c r="USJ169" s="1360"/>
      <c r="USK169" s="955"/>
      <c r="USL169" s="1361"/>
      <c r="USM169" s="1360"/>
      <c r="USN169" s="1925"/>
      <c r="USO169" s="955"/>
      <c r="USP169" s="963"/>
      <c r="USQ169" s="2242"/>
      <c r="USR169" s="1360"/>
      <c r="USS169" s="955"/>
      <c r="UST169" s="1361"/>
      <c r="USU169" s="1360"/>
      <c r="USV169" s="1925"/>
      <c r="USW169" s="955"/>
      <c r="USX169" s="963"/>
      <c r="USY169" s="2242"/>
      <c r="USZ169" s="1360"/>
      <c r="UTA169" s="955"/>
      <c r="UTB169" s="1361"/>
      <c r="UTC169" s="1360"/>
      <c r="UTD169" s="1925"/>
      <c r="UTE169" s="955"/>
      <c r="UTF169" s="963"/>
      <c r="UTG169" s="2242"/>
      <c r="UTH169" s="1360"/>
      <c r="UTI169" s="955"/>
      <c r="UTJ169" s="1361"/>
      <c r="UTK169" s="1360"/>
      <c r="UTL169" s="1925"/>
      <c r="UTM169" s="955"/>
      <c r="UTN169" s="963"/>
      <c r="UTO169" s="2242"/>
      <c r="UTP169" s="1360"/>
      <c r="UTQ169" s="955"/>
      <c r="UTR169" s="1361"/>
      <c r="UTS169" s="1360"/>
      <c r="UTT169" s="1925"/>
      <c r="UTU169" s="955"/>
      <c r="UTV169" s="963"/>
      <c r="UTW169" s="2242"/>
      <c r="UTX169" s="1360"/>
      <c r="UTY169" s="955"/>
      <c r="UTZ169" s="1361"/>
      <c r="UUA169" s="1360"/>
      <c r="UUB169" s="1925"/>
      <c r="UUC169" s="955"/>
      <c r="UUD169" s="963"/>
      <c r="UUE169" s="2242"/>
      <c r="UUF169" s="1360"/>
      <c r="UUG169" s="955"/>
      <c r="UUH169" s="1361"/>
      <c r="UUI169" s="1360"/>
      <c r="UUJ169" s="1925"/>
      <c r="UUK169" s="955"/>
      <c r="UUL169" s="963"/>
      <c r="UUM169" s="2242"/>
      <c r="UUN169" s="1360"/>
      <c r="UUO169" s="955"/>
      <c r="UUP169" s="1361"/>
      <c r="UUQ169" s="1360"/>
      <c r="UUR169" s="1925"/>
      <c r="UUS169" s="955"/>
      <c r="UUT169" s="963"/>
      <c r="UUU169" s="2242"/>
      <c r="UUV169" s="1360"/>
      <c r="UUW169" s="955"/>
      <c r="UUX169" s="1361"/>
      <c r="UUY169" s="1360"/>
      <c r="UUZ169" s="1925"/>
      <c r="UVA169" s="955"/>
      <c r="UVB169" s="963"/>
      <c r="UVC169" s="2242"/>
      <c r="UVD169" s="1360"/>
      <c r="UVE169" s="955"/>
      <c r="UVF169" s="1361"/>
      <c r="UVG169" s="1360"/>
      <c r="UVH169" s="1925"/>
      <c r="UVI169" s="955"/>
      <c r="UVJ169" s="963"/>
      <c r="UVK169" s="2242"/>
      <c r="UVL169" s="1360"/>
      <c r="UVM169" s="955"/>
      <c r="UVN169" s="1361"/>
      <c r="UVO169" s="1360"/>
      <c r="UVP169" s="1925"/>
      <c r="UVQ169" s="955"/>
      <c r="UVR169" s="963"/>
      <c r="UVS169" s="2242"/>
      <c r="UVT169" s="1360"/>
      <c r="UVU169" s="955"/>
      <c r="UVV169" s="1361"/>
      <c r="UVW169" s="1360"/>
      <c r="UVX169" s="1925"/>
      <c r="UVY169" s="955"/>
      <c r="UVZ169" s="963"/>
      <c r="UWA169" s="2242"/>
      <c r="UWB169" s="1360"/>
      <c r="UWC169" s="955"/>
      <c r="UWD169" s="1361"/>
      <c r="UWE169" s="1360"/>
      <c r="UWF169" s="1925"/>
      <c r="UWG169" s="955"/>
      <c r="UWH169" s="963"/>
      <c r="UWI169" s="2242"/>
      <c r="UWJ169" s="1360"/>
      <c r="UWK169" s="955"/>
      <c r="UWL169" s="1361"/>
      <c r="UWM169" s="1360"/>
      <c r="UWN169" s="1925"/>
      <c r="UWO169" s="955"/>
      <c r="UWP169" s="963"/>
      <c r="UWQ169" s="2242"/>
      <c r="UWR169" s="1360"/>
      <c r="UWS169" s="955"/>
      <c r="UWT169" s="1361"/>
      <c r="UWU169" s="1360"/>
      <c r="UWV169" s="1925"/>
      <c r="UWW169" s="955"/>
      <c r="UWX169" s="963"/>
      <c r="UWY169" s="2242"/>
      <c r="UWZ169" s="1360"/>
      <c r="UXA169" s="955"/>
      <c r="UXB169" s="1361"/>
      <c r="UXC169" s="1360"/>
      <c r="UXD169" s="1925"/>
      <c r="UXE169" s="955"/>
      <c r="UXF169" s="963"/>
      <c r="UXG169" s="2242"/>
      <c r="UXH169" s="1360"/>
      <c r="UXI169" s="955"/>
      <c r="UXJ169" s="1361"/>
      <c r="UXK169" s="1360"/>
      <c r="UXL169" s="1925"/>
      <c r="UXM169" s="955"/>
      <c r="UXN169" s="963"/>
      <c r="UXO169" s="2242"/>
      <c r="UXP169" s="1360"/>
      <c r="UXQ169" s="955"/>
      <c r="UXR169" s="1361"/>
      <c r="UXS169" s="1360"/>
      <c r="UXT169" s="1925"/>
      <c r="UXU169" s="955"/>
      <c r="UXV169" s="963"/>
      <c r="UXW169" s="2242"/>
      <c r="UXX169" s="1360"/>
      <c r="UXY169" s="955"/>
      <c r="UXZ169" s="1361"/>
      <c r="UYA169" s="1360"/>
      <c r="UYB169" s="1925"/>
      <c r="UYC169" s="955"/>
      <c r="UYD169" s="963"/>
      <c r="UYE169" s="2242"/>
      <c r="UYF169" s="1360"/>
      <c r="UYG169" s="955"/>
      <c r="UYH169" s="1361"/>
      <c r="UYI169" s="1360"/>
      <c r="UYJ169" s="1925"/>
      <c r="UYK169" s="955"/>
      <c r="UYL169" s="963"/>
      <c r="UYM169" s="2242"/>
      <c r="UYN169" s="1360"/>
      <c r="UYO169" s="955"/>
      <c r="UYP169" s="1361"/>
      <c r="UYQ169" s="1360"/>
      <c r="UYR169" s="1925"/>
      <c r="UYS169" s="955"/>
      <c r="UYT169" s="963"/>
      <c r="UYU169" s="2242"/>
      <c r="UYV169" s="1360"/>
      <c r="UYW169" s="955"/>
      <c r="UYX169" s="1361"/>
      <c r="UYY169" s="1360"/>
      <c r="UYZ169" s="1925"/>
      <c r="UZA169" s="955"/>
      <c r="UZB169" s="963"/>
      <c r="UZC169" s="2242"/>
      <c r="UZD169" s="1360"/>
      <c r="UZE169" s="955"/>
      <c r="UZF169" s="1361"/>
      <c r="UZG169" s="1360"/>
      <c r="UZH169" s="1925"/>
      <c r="UZI169" s="955"/>
      <c r="UZJ169" s="963"/>
      <c r="UZK169" s="2242"/>
      <c r="UZL169" s="1360"/>
      <c r="UZM169" s="955"/>
      <c r="UZN169" s="1361"/>
      <c r="UZO169" s="1360"/>
      <c r="UZP169" s="1925"/>
      <c r="UZQ169" s="955"/>
      <c r="UZR169" s="963"/>
      <c r="UZS169" s="2242"/>
      <c r="UZT169" s="1360"/>
      <c r="UZU169" s="955"/>
      <c r="UZV169" s="1361"/>
      <c r="UZW169" s="1360"/>
      <c r="UZX169" s="1925"/>
      <c r="UZY169" s="955"/>
      <c r="UZZ169" s="963"/>
      <c r="VAA169" s="2242"/>
      <c r="VAB169" s="1360"/>
      <c r="VAC169" s="955"/>
      <c r="VAD169" s="1361"/>
      <c r="VAE169" s="1360"/>
      <c r="VAF169" s="1925"/>
      <c r="VAG169" s="955"/>
      <c r="VAH169" s="963"/>
      <c r="VAI169" s="2242"/>
      <c r="VAJ169" s="1360"/>
      <c r="VAK169" s="955"/>
      <c r="VAL169" s="1361"/>
      <c r="VAM169" s="1360"/>
      <c r="VAN169" s="1925"/>
      <c r="VAO169" s="955"/>
      <c r="VAP169" s="963"/>
      <c r="VAQ169" s="2242"/>
      <c r="VAR169" s="1360"/>
      <c r="VAS169" s="955"/>
      <c r="VAT169" s="1361"/>
      <c r="VAU169" s="1360"/>
      <c r="VAV169" s="1925"/>
      <c r="VAW169" s="955"/>
      <c r="VAX169" s="963"/>
      <c r="VAY169" s="2242"/>
      <c r="VAZ169" s="1360"/>
      <c r="VBA169" s="955"/>
      <c r="VBB169" s="1361"/>
      <c r="VBC169" s="1360"/>
      <c r="VBD169" s="1925"/>
      <c r="VBE169" s="955"/>
      <c r="VBF169" s="963"/>
      <c r="VBG169" s="2242"/>
      <c r="VBH169" s="1360"/>
      <c r="VBI169" s="955"/>
      <c r="VBJ169" s="1361"/>
      <c r="VBK169" s="1360"/>
      <c r="VBL169" s="1925"/>
      <c r="VBM169" s="955"/>
      <c r="VBN169" s="963"/>
      <c r="VBO169" s="2242"/>
      <c r="VBP169" s="1360"/>
      <c r="VBQ169" s="955"/>
      <c r="VBR169" s="1361"/>
      <c r="VBS169" s="1360"/>
      <c r="VBT169" s="1925"/>
      <c r="VBU169" s="955"/>
      <c r="VBV169" s="963"/>
      <c r="VBW169" s="2242"/>
      <c r="VBX169" s="1360"/>
      <c r="VBY169" s="955"/>
      <c r="VBZ169" s="1361"/>
      <c r="VCA169" s="1360"/>
      <c r="VCB169" s="1925"/>
      <c r="VCC169" s="955"/>
      <c r="VCD169" s="963"/>
      <c r="VCE169" s="2242"/>
      <c r="VCF169" s="1360"/>
      <c r="VCG169" s="955"/>
      <c r="VCH169" s="1361"/>
      <c r="VCI169" s="1360"/>
      <c r="VCJ169" s="1925"/>
      <c r="VCK169" s="955"/>
      <c r="VCL169" s="963"/>
      <c r="VCM169" s="2242"/>
      <c r="VCN169" s="1360"/>
      <c r="VCO169" s="955"/>
      <c r="VCP169" s="1361"/>
      <c r="VCQ169" s="1360"/>
      <c r="VCR169" s="1925"/>
      <c r="VCS169" s="955"/>
      <c r="VCT169" s="963"/>
      <c r="VCU169" s="2242"/>
      <c r="VCV169" s="1360"/>
      <c r="VCW169" s="955"/>
      <c r="VCX169" s="1361"/>
      <c r="VCY169" s="1360"/>
      <c r="VCZ169" s="1925"/>
      <c r="VDA169" s="955"/>
      <c r="VDB169" s="963"/>
      <c r="VDC169" s="2242"/>
      <c r="VDD169" s="1360"/>
      <c r="VDE169" s="955"/>
      <c r="VDF169" s="1361"/>
      <c r="VDG169" s="1360"/>
      <c r="VDH169" s="1925"/>
      <c r="VDI169" s="955"/>
      <c r="VDJ169" s="963"/>
      <c r="VDK169" s="2242"/>
      <c r="VDL169" s="1360"/>
      <c r="VDM169" s="955"/>
      <c r="VDN169" s="1361"/>
      <c r="VDO169" s="1360"/>
      <c r="VDP169" s="1925"/>
      <c r="VDQ169" s="955"/>
      <c r="VDR169" s="963"/>
      <c r="VDS169" s="2242"/>
      <c r="VDT169" s="1360"/>
      <c r="VDU169" s="955"/>
      <c r="VDV169" s="1361"/>
      <c r="VDW169" s="1360"/>
      <c r="VDX169" s="1925"/>
      <c r="VDY169" s="955"/>
      <c r="VDZ169" s="963"/>
      <c r="VEA169" s="2242"/>
      <c r="VEB169" s="1360"/>
      <c r="VEC169" s="955"/>
      <c r="VED169" s="1361"/>
      <c r="VEE169" s="1360"/>
      <c r="VEF169" s="1925"/>
      <c r="VEG169" s="955"/>
      <c r="VEH169" s="963"/>
      <c r="VEI169" s="2242"/>
      <c r="VEJ169" s="1360"/>
      <c r="VEK169" s="955"/>
      <c r="VEL169" s="1361"/>
      <c r="VEM169" s="1360"/>
      <c r="VEN169" s="1925"/>
      <c r="VEO169" s="955"/>
      <c r="VEP169" s="963"/>
      <c r="VEQ169" s="2242"/>
      <c r="VER169" s="1360"/>
      <c r="VES169" s="955"/>
      <c r="VET169" s="1361"/>
      <c r="VEU169" s="1360"/>
      <c r="VEV169" s="1925"/>
      <c r="VEW169" s="955"/>
      <c r="VEX169" s="963"/>
      <c r="VEY169" s="2242"/>
      <c r="VEZ169" s="1360"/>
      <c r="VFA169" s="955"/>
      <c r="VFB169" s="1361"/>
      <c r="VFC169" s="1360"/>
      <c r="VFD169" s="1925"/>
      <c r="VFE169" s="955"/>
      <c r="VFF169" s="963"/>
      <c r="VFG169" s="2242"/>
      <c r="VFH169" s="1360"/>
      <c r="VFI169" s="955"/>
      <c r="VFJ169" s="1361"/>
      <c r="VFK169" s="1360"/>
      <c r="VFL169" s="1925"/>
      <c r="VFM169" s="955"/>
      <c r="VFN169" s="963"/>
      <c r="VFO169" s="2242"/>
      <c r="VFP169" s="1360"/>
      <c r="VFQ169" s="955"/>
      <c r="VFR169" s="1361"/>
      <c r="VFS169" s="1360"/>
      <c r="VFT169" s="1925"/>
      <c r="VFU169" s="955"/>
      <c r="VFV169" s="963"/>
      <c r="VFW169" s="2242"/>
      <c r="VFX169" s="1360"/>
      <c r="VFY169" s="955"/>
      <c r="VFZ169" s="1361"/>
      <c r="VGA169" s="1360"/>
      <c r="VGB169" s="1925"/>
      <c r="VGC169" s="955"/>
      <c r="VGD169" s="963"/>
      <c r="VGE169" s="2242"/>
      <c r="VGF169" s="1360"/>
      <c r="VGG169" s="955"/>
      <c r="VGH169" s="1361"/>
      <c r="VGI169" s="1360"/>
      <c r="VGJ169" s="1925"/>
      <c r="VGK169" s="955"/>
      <c r="VGL169" s="963"/>
      <c r="VGM169" s="2242"/>
      <c r="VGN169" s="1360"/>
      <c r="VGO169" s="955"/>
      <c r="VGP169" s="1361"/>
      <c r="VGQ169" s="1360"/>
      <c r="VGR169" s="1925"/>
      <c r="VGS169" s="955"/>
      <c r="VGT169" s="963"/>
      <c r="VGU169" s="2242"/>
      <c r="VGV169" s="1360"/>
      <c r="VGW169" s="955"/>
      <c r="VGX169" s="1361"/>
      <c r="VGY169" s="1360"/>
      <c r="VGZ169" s="1925"/>
      <c r="VHA169" s="955"/>
      <c r="VHB169" s="963"/>
      <c r="VHC169" s="2242"/>
      <c r="VHD169" s="1360"/>
      <c r="VHE169" s="955"/>
      <c r="VHF169" s="1361"/>
      <c r="VHG169" s="1360"/>
      <c r="VHH169" s="1925"/>
      <c r="VHI169" s="955"/>
      <c r="VHJ169" s="963"/>
      <c r="VHK169" s="2242"/>
      <c r="VHL169" s="1360"/>
      <c r="VHM169" s="955"/>
      <c r="VHN169" s="1361"/>
      <c r="VHO169" s="1360"/>
      <c r="VHP169" s="1925"/>
      <c r="VHQ169" s="955"/>
      <c r="VHR169" s="963"/>
      <c r="VHS169" s="2242"/>
      <c r="VHT169" s="1360"/>
      <c r="VHU169" s="955"/>
      <c r="VHV169" s="1361"/>
      <c r="VHW169" s="1360"/>
      <c r="VHX169" s="1925"/>
      <c r="VHY169" s="955"/>
      <c r="VHZ169" s="963"/>
      <c r="VIA169" s="2242"/>
      <c r="VIB169" s="1360"/>
      <c r="VIC169" s="955"/>
      <c r="VID169" s="1361"/>
      <c r="VIE169" s="1360"/>
      <c r="VIF169" s="1925"/>
      <c r="VIG169" s="955"/>
      <c r="VIH169" s="963"/>
      <c r="VII169" s="2242"/>
      <c r="VIJ169" s="1360"/>
      <c r="VIK169" s="955"/>
      <c r="VIL169" s="1361"/>
      <c r="VIM169" s="1360"/>
      <c r="VIN169" s="1925"/>
      <c r="VIO169" s="955"/>
      <c r="VIP169" s="963"/>
      <c r="VIQ169" s="2242"/>
      <c r="VIR169" s="1360"/>
      <c r="VIS169" s="955"/>
      <c r="VIT169" s="1361"/>
      <c r="VIU169" s="1360"/>
      <c r="VIV169" s="1925"/>
      <c r="VIW169" s="955"/>
      <c r="VIX169" s="963"/>
      <c r="VIY169" s="2242"/>
      <c r="VIZ169" s="1360"/>
      <c r="VJA169" s="955"/>
      <c r="VJB169" s="1361"/>
      <c r="VJC169" s="1360"/>
      <c r="VJD169" s="1925"/>
      <c r="VJE169" s="955"/>
      <c r="VJF169" s="963"/>
      <c r="VJG169" s="2242"/>
      <c r="VJH169" s="1360"/>
      <c r="VJI169" s="955"/>
      <c r="VJJ169" s="1361"/>
      <c r="VJK169" s="1360"/>
      <c r="VJL169" s="1925"/>
      <c r="VJM169" s="955"/>
      <c r="VJN169" s="963"/>
      <c r="VJO169" s="2242"/>
      <c r="VJP169" s="1360"/>
      <c r="VJQ169" s="955"/>
      <c r="VJR169" s="1361"/>
      <c r="VJS169" s="1360"/>
      <c r="VJT169" s="1925"/>
      <c r="VJU169" s="955"/>
      <c r="VJV169" s="963"/>
      <c r="VJW169" s="2242"/>
      <c r="VJX169" s="1360"/>
      <c r="VJY169" s="955"/>
      <c r="VJZ169" s="1361"/>
      <c r="VKA169" s="1360"/>
      <c r="VKB169" s="1925"/>
      <c r="VKC169" s="955"/>
      <c r="VKD169" s="963"/>
      <c r="VKE169" s="2242"/>
      <c r="VKF169" s="1360"/>
      <c r="VKG169" s="955"/>
      <c r="VKH169" s="1361"/>
      <c r="VKI169" s="1360"/>
      <c r="VKJ169" s="1925"/>
      <c r="VKK169" s="955"/>
      <c r="VKL169" s="963"/>
      <c r="VKM169" s="2242"/>
      <c r="VKN169" s="1360"/>
      <c r="VKO169" s="955"/>
      <c r="VKP169" s="1361"/>
      <c r="VKQ169" s="1360"/>
      <c r="VKR169" s="1925"/>
      <c r="VKS169" s="955"/>
      <c r="VKT169" s="963"/>
      <c r="VKU169" s="2242"/>
      <c r="VKV169" s="1360"/>
      <c r="VKW169" s="955"/>
      <c r="VKX169" s="1361"/>
      <c r="VKY169" s="1360"/>
      <c r="VKZ169" s="1925"/>
      <c r="VLA169" s="955"/>
      <c r="VLB169" s="963"/>
      <c r="VLC169" s="2242"/>
      <c r="VLD169" s="1360"/>
      <c r="VLE169" s="955"/>
      <c r="VLF169" s="1361"/>
      <c r="VLG169" s="1360"/>
      <c r="VLH169" s="1925"/>
      <c r="VLI169" s="955"/>
      <c r="VLJ169" s="963"/>
      <c r="VLK169" s="2242"/>
      <c r="VLL169" s="1360"/>
      <c r="VLM169" s="955"/>
      <c r="VLN169" s="1361"/>
      <c r="VLO169" s="1360"/>
      <c r="VLP169" s="1925"/>
      <c r="VLQ169" s="955"/>
      <c r="VLR169" s="963"/>
      <c r="VLS169" s="2242"/>
      <c r="VLT169" s="1360"/>
      <c r="VLU169" s="955"/>
      <c r="VLV169" s="1361"/>
      <c r="VLW169" s="1360"/>
      <c r="VLX169" s="1925"/>
      <c r="VLY169" s="955"/>
      <c r="VLZ169" s="963"/>
      <c r="VMA169" s="2242"/>
      <c r="VMB169" s="1360"/>
      <c r="VMC169" s="955"/>
      <c r="VMD169" s="1361"/>
      <c r="VME169" s="1360"/>
      <c r="VMF169" s="1925"/>
      <c r="VMG169" s="955"/>
      <c r="VMH169" s="963"/>
      <c r="VMI169" s="2242"/>
      <c r="VMJ169" s="1360"/>
      <c r="VMK169" s="955"/>
      <c r="VML169" s="1361"/>
      <c r="VMM169" s="1360"/>
      <c r="VMN169" s="1925"/>
      <c r="VMO169" s="955"/>
      <c r="VMP169" s="963"/>
      <c r="VMQ169" s="2242"/>
      <c r="VMR169" s="1360"/>
      <c r="VMS169" s="955"/>
      <c r="VMT169" s="1361"/>
      <c r="VMU169" s="1360"/>
      <c r="VMV169" s="1925"/>
      <c r="VMW169" s="955"/>
      <c r="VMX169" s="963"/>
      <c r="VMY169" s="2242"/>
      <c r="VMZ169" s="1360"/>
      <c r="VNA169" s="955"/>
      <c r="VNB169" s="1361"/>
      <c r="VNC169" s="1360"/>
      <c r="VND169" s="1925"/>
      <c r="VNE169" s="955"/>
      <c r="VNF169" s="963"/>
      <c r="VNG169" s="2242"/>
      <c r="VNH169" s="1360"/>
      <c r="VNI169" s="955"/>
      <c r="VNJ169" s="1361"/>
      <c r="VNK169" s="1360"/>
      <c r="VNL169" s="1925"/>
      <c r="VNM169" s="955"/>
      <c r="VNN169" s="963"/>
      <c r="VNO169" s="2242"/>
      <c r="VNP169" s="1360"/>
      <c r="VNQ169" s="955"/>
      <c r="VNR169" s="1361"/>
      <c r="VNS169" s="1360"/>
      <c r="VNT169" s="1925"/>
      <c r="VNU169" s="955"/>
      <c r="VNV169" s="963"/>
      <c r="VNW169" s="2242"/>
      <c r="VNX169" s="1360"/>
      <c r="VNY169" s="955"/>
      <c r="VNZ169" s="1361"/>
      <c r="VOA169" s="1360"/>
      <c r="VOB169" s="1925"/>
      <c r="VOC169" s="955"/>
      <c r="VOD169" s="963"/>
      <c r="VOE169" s="2242"/>
      <c r="VOF169" s="1360"/>
      <c r="VOG169" s="955"/>
      <c r="VOH169" s="1361"/>
      <c r="VOI169" s="1360"/>
      <c r="VOJ169" s="1925"/>
      <c r="VOK169" s="955"/>
      <c r="VOL169" s="963"/>
      <c r="VOM169" s="2242"/>
      <c r="VON169" s="1360"/>
      <c r="VOO169" s="955"/>
      <c r="VOP169" s="1361"/>
      <c r="VOQ169" s="1360"/>
      <c r="VOR169" s="1925"/>
      <c r="VOS169" s="955"/>
      <c r="VOT169" s="963"/>
      <c r="VOU169" s="2242"/>
      <c r="VOV169" s="1360"/>
      <c r="VOW169" s="955"/>
      <c r="VOX169" s="1361"/>
      <c r="VOY169" s="1360"/>
      <c r="VOZ169" s="1925"/>
      <c r="VPA169" s="955"/>
      <c r="VPB169" s="963"/>
      <c r="VPC169" s="2242"/>
      <c r="VPD169" s="1360"/>
      <c r="VPE169" s="955"/>
      <c r="VPF169" s="1361"/>
      <c r="VPG169" s="1360"/>
      <c r="VPH169" s="1925"/>
      <c r="VPI169" s="955"/>
      <c r="VPJ169" s="963"/>
      <c r="VPK169" s="2242"/>
      <c r="VPL169" s="1360"/>
      <c r="VPM169" s="955"/>
      <c r="VPN169" s="1361"/>
      <c r="VPO169" s="1360"/>
      <c r="VPP169" s="1925"/>
      <c r="VPQ169" s="955"/>
      <c r="VPR169" s="963"/>
      <c r="VPS169" s="2242"/>
      <c r="VPT169" s="1360"/>
      <c r="VPU169" s="955"/>
      <c r="VPV169" s="1361"/>
      <c r="VPW169" s="1360"/>
      <c r="VPX169" s="1925"/>
      <c r="VPY169" s="955"/>
      <c r="VPZ169" s="963"/>
      <c r="VQA169" s="2242"/>
      <c r="VQB169" s="1360"/>
      <c r="VQC169" s="955"/>
      <c r="VQD169" s="1361"/>
      <c r="VQE169" s="1360"/>
      <c r="VQF169" s="1925"/>
      <c r="VQG169" s="955"/>
      <c r="VQH169" s="963"/>
      <c r="VQI169" s="2242"/>
      <c r="VQJ169" s="1360"/>
      <c r="VQK169" s="955"/>
      <c r="VQL169" s="1361"/>
      <c r="VQM169" s="1360"/>
      <c r="VQN169" s="1925"/>
      <c r="VQO169" s="955"/>
      <c r="VQP169" s="963"/>
      <c r="VQQ169" s="2242"/>
      <c r="VQR169" s="1360"/>
      <c r="VQS169" s="955"/>
      <c r="VQT169" s="1361"/>
      <c r="VQU169" s="1360"/>
      <c r="VQV169" s="1925"/>
      <c r="VQW169" s="955"/>
      <c r="VQX169" s="963"/>
      <c r="VQY169" s="2242"/>
      <c r="VQZ169" s="1360"/>
      <c r="VRA169" s="955"/>
      <c r="VRB169" s="1361"/>
      <c r="VRC169" s="1360"/>
      <c r="VRD169" s="1925"/>
      <c r="VRE169" s="955"/>
      <c r="VRF169" s="963"/>
      <c r="VRG169" s="2242"/>
      <c r="VRH169" s="1360"/>
      <c r="VRI169" s="955"/>
      <c r="VRJ169" s="1361"/>
      <c r="VRK169" s="1360"/>
      <c r="VRL169" s="1925"/>
      <c r="VRM169" s="955"/>
      <c r="VRN169" s="963"/>
      <c r="VRO169" s="2242"/>
      <c r="VRP169" s="1360"/>
      <c r="VRQ169" s="955"/>
      <c r="VRR169" s="1361"/>
      <c r="VRS169" s="1360"/>
      <c r="VRT169" s="1925"/>
      <c r="VRU169" s="955"/>
      <c r="VRV169" s="963"/>
      <c r="VRW169" s="2242"/>
      <c r="VRX169" s="1360"/>
      <c r="VRY169" s="955"/>
      <c r="VRZ169" s="1361"/>
      <c r="VSA169" s="1360"/>
      <c r="VSB169" s="1925"/>
      <c r="VSC169" s="955"/>
      <c r="VSD169" s="963"/>
      <c r="VSE169" s="2242"/>
      <c r="VSF169" s="1360"/>
      <c r="VSG169" s="955"/>
      <c r="VSH169" s="1361"/>
      <c r="VSI169" s="1360"/>
      <c r="VSJ169" s="1925"/>
      <c r="VSK169" s="955"/>
      <c r="VSL169" s="963"/>
      <c r="VSM169" s="2242"/>
      <c r="VSN169" s="1360"/>
      <c r="VSO169" s="955"/>
      <c r="VSP169" s="1361"/>
      <c r="VSQ169" s="1360"/>
      <c r="VSR169" s="1925"/>
      <c r="VSS169" s="955"/>
      <c r="VST169" s="963"/>
      <c r="VSU169" s="2242"/>
      <c r="VSV169" s="1360"/>
      <c r="VSW169" s="955"/>
      <c r="VSX169" s="1361"/>
      <c r="VSY169" s="1360"/>
      <c r="VSZ169" s="1925"/>
      <c r="VTA169" s="955"/>
      <c r="VTB169" s="963"/>
      <c r="VTC169" s="2242"/>
      <c r="VTD169" s="1360"/>
      <c r="VTE169" s="955"/>
      <c r="VTF169" s="1361"/>
      <c r="VTG169" s="1360"/>
      <c r="VTH169" s="1925"/>
      <c r="VTI169" s="955"/>
      <c r="VTJ169" s="963"/>
      <c r="VTK169" s="2242"/>
      <c r="VTL169" s="1360"/>
      <c r="VTM169" s="955"/>
      <c r="VTN169" s="1361"/>
      <c r="VTO169" s="1360"/>
      <c r="VTP169" s="1925"/>
      <c r="VTQ169" s="955"/>
      <c r="VTR169" s="963"/>
      <c r="VTS169" s="2242"/>
      <c r="VTT169" s="1360"/>
      <c r="VTU169" s="955"/>
      <c r="VTV169" s="1361"/>
      <c r="VTW169" s="1360"/>
      <c r="VTX169" s="1925"/>
      <c r="VTY169" s="955"/>
      <c r="VTZ169" s="963"/>
      <c r="VUA169" s="2242"/>
      <c r="VUB169" s="1360"/>
      <c r="VUC169" s="955"/>
      <c r="VUD169" s="1361"/>
      <c r="VUE169" s="1360"/>
      <c r="VUF169" s="1925"/>
      <c r="VUG169" s="955"/>
      <c r="VUH169" s="963"/>
      <c r="VUI169" s="2242"/>
      <c r="VUJ169" s="1360"/>
      <c r="VUK169" s="955"/>
      <c r="VUL169" s="1361"/>
      <c r="VUM169" s="1360"/>
      <c r="VUN169" s="1925"/>
      <c r="VUO169" s="955"/>
      <c r="VUP169" s="963"/>
      <c r="VUQ169" s="2242"/>
      <c r="VUR169" s="1360"/>
      <c r="VUS169" s="955"/>
      <c r="VUT169" s="1361"/>
      <c r="VUU169" s="1360"/>
      <c r="VUV169" s="1925"/>
      <c r="VUW169" s="955"/>
      <c r="VUX169" s="963"/>
      <c r="VUY169" s="2242"/>
      <c r="VUZ169" s="1360"/>
      <c r="VVA169" s="955"/>
      <c r="VVB169" s="1361"/>
      <c r="VVC169" s="1360"/>
      <c r="VVD169" s="1925"/>
      <c r="VVE169" s="955"/>
      <c r="VVF169" s="963"/>
      <c r="VVG169" s="2242"/>
      <c r="VVH169" s="1360"/>
      <c r="VVI169" s="955"/>
      <c r="VVJ169" s="1361"/>
      <c r="VVK169" s="1360"/>
      <c r="VVL169" s="1925"/>
      <c r="VVM169" s="955"/>
      <c r="VVN169" s="963"/>
      <c r="VVO169" s="2242"/>
      <c r="VVP169" s="1360"/>
      <c r="VVQ169" s="955"/>
      <c r="VVR169" s="1361"/>
      <c r="VVS169" s="1360"/>
      <c r="VVT169" s="1925"/>
      <c r="VVU169" s="955"/>
      <c r="VVV169" s="963"/>
      <c r="VVW169" s="2242"/>
      <c r="VVX169" s="1360"/>
      <c r="VVY169" s="955"/>
      <c r="VVZ169" s="1361"/>
      <c r="VWA169" s="1360"/>
      <c r="VWB169" s="1925"/>
      <c r="VWC169" s="955"/>
      <c r="VWD169" s="963"/>
      <c r="VWE169" s="2242"/>
      <c r="VWF169" s="1360"/>
      <c r="VWG169" s="955"/>
      <c r="VWH169" s="1361"/>
      <c r="VWI169" s="1360"/>
      <c r="VWJ169" s="1925"/>
      <c r="VWK169" s="955"/>
      <c r="VWL169" s="963"/>
      <c r="VWM169" s="2242"/>
      <c r="VWN169" s="1360"/>
      <c r="VWO169" s="955"/>
      <c r="VWP169" s="1361"/>
      <c r="VWQ169" s="1360"/>
      <c r="VWR169" s="1925"/>
      <c r="VWS169" s="955"/>
      <c r="VWT169" s="963"/>
      <c r="VWU169" s="2242"/>
      <c r="VWV169" s="1360"/>
      <c r="VWW169" s="955"/>
      <c r="VWX169" s="1361"/>
      <c r="VWY169" s="1360"/>
      <c r="VWZ169" s="1925"/>
      <c r="VXA169" s="955"/>
      <c r="VXB169" s="963"/>
      <c r="VXC169" s="2242"/>
      <c r="VXD169" s="1360"/>
      <c r="VXE169" s="955"/>
      <c r="VXF169" s="1361"/>
      <c r="VXG169" s="1360"/>
      <c r="VXH169" s="1925"/>
      <c r="VXI169" s="955"/>
      <c r="VXJ169" s="963"/>
      <c r="VXK169" s="2242"/>
      <c r="VXL169" s="1360"/>
      <c r="VXM169" s="955"/>
      <c r="VXN169" s="1361"/>
      <c r="VXO169" s="1360"/>
      <c r="VXP169" s="1925"/>
      <c r="VXQ169" s="955"/>
      <c r="VXR169" s="963"/>
      <c r="VXS169" s="2242"/>
      <c r="VXT169" s="1360"/>
      <c r="VXU169" s="955"/>
      <c r="VXV169" s="1361"/>
      <c r="VXW169" s="1360"/>
      <c r="VXX169" s="1925"/>
      <c r="VXY169" s="955"/>
      <c r="VXZ169" s="963"/>
      <c r="VYA169" s="2242"/>
      <c r="VYB169" s="1360"/>
      <c r="VYC169" s="955"/>
      <c r="VYD169" s="1361"/>
      <c r="VYE169" s="1360"/>
      <c r="VYF169" s="1925"/>
      <c r="VYG169" s="955"/>
      <c r="VYH169" s="963"/>
      <c r="VYI169" s="2242"/>
      <c r="VYJ169" s="1360"/>
      <c r="VYK169" s="955"/>
      <c r="VYL169" s="1361"/>
      <c r="VYM169" s="1360"/>
      <c r="VYN169" s="1925"/>
      <c r="VYO169" s="955"/>
      <c r="VYP169" s="963"/>
      <c r="VYQ169" s="2242"/>
      <c r="VYR169" s="1360"/>
      <c r="VYS169" s="955"/>
      <c r="VYT169" s="1361"/>
      <c r="VYU169" s="1360"/>
      <c r="VYV169" s="1925"/>
      <c r="VYW169" s="955"/>
      <c r="VYX169" s="963"/>
      <c r="VYY169" s="2242"/>
      <c r="VYZ169" s="1360"/>
      <c r="VZA169" s="955"/>
      <c r="VZB169" s="1361"/>
      <c r="VZC169" s="1360"/>
      <c r="VZD169" s="1925"/>
      <c r="VZE169" s="955"/>
      <c r="VZF169" s="963"/>
      <c r="VZG169" s="2242"/>
      <c r="VZH169" s="1360"/>
      <c r="VZI169" s="955"/>
      <c r="VZJ169" s="1361"/>
      <c r="VZK169" s="1360"/>
      <c r="VZL169" s="1925"/>
      <c r="VZM169" s="955"/>
      <c r="VZN169" s="963"/>
      <c r="VZO169" s="2242"/>
      <c r="VZP169" s="1360"/>
      <c r="VZQ169" s="955"/>
      <c r="VZR169" s="1361"/>
      <c r="VZS169" s="1360"/>
      <c r="VZT169" s="1925"/>
      <c r="VZU169" s="955"/>
      <c r="VZV169" s="963"/>
      <c r="VZW169" s="2242"/>
      <c r="VZX169" s="1360"/>
      <c r="VZY169" s="955"/>
      <c r="VZZ169" s="1361"/>
      <c r="WAA169" s="1360"/>
      <c r="WAB169" s="1925"/>
      <c r="WAC169" s="955"/>
      <c r="WAD169" s="963"/>
      <c r="WAE169" s="2242"/>
      <c r="WAF169" s="1360"/>
      <c r="WAG169" s="955"/>
      <c r="WAH169" s="1361"/>
      <c r="WAI169" s="1360"/>
      <c r="WAJ169" s="1925"/>
      <c r="WAK169" s="955"/>
      <c r="WAL169" s="963"/>
      <c r="WAM169" s="2242"/>
      <c r="WAN169" s="1360"/>
      <c r="WAO169" s="955"/>
      <c r="WAP169" s="1361"/>
      <c r="WAQ169" s="1360"/>
      <c r="WAR169" s="1925"/>
      <c r="WAS169" s="955"/>
      <c r="WAT169" s="963"/>
      <c r="WAU169" s="2242"/>
      <c r="WAV169" s="1360"/>
      <c r="WAW169" s="955"/>
      <c r="WAX169" s="1361"/>
      <c r="WAY169" s="1360"/>
      <c r="WAZ169" s="1925"/>
      <c r="WBA169" s="955"/>
      <c r="WBB169" s="963"/>
      <c r="WBC169" s="2242"/>
      <c r="WBD169" s="1360"/>
      <c r="WBE169" s="955"/>
      <c r="WBF169" s="1361"/>
      <c r="WBG169" s="1360"/>
      <c r="WBH169" s="1925"/>
      <c r="WBI169" s="955"/>
      <c r="WBJ169" s="963"/>
      <c r="WBK169" s="2242"/>
      <c r="WBL169" s="1360"/>
      <c r="WBM169" s="955"/>
      <c r="WBN169" s="1361"/>
      <c r="WBO169" s="1360"/>
      <c r="WBP169" s="1925"/>
      <c r="WBQ169" s="955"/>
      <c r="WBR169" s="963"/>
      <c r="WBS169" s="2242"/>
      <c r="WBT169" s="1360"/>
      <c r="WBU169" s="955"/>
      <c r="WBV169" s="1361"/>
      <c r="WBW169" s="1360"/>
      <c r="WBX169" s="1925"/>
      <c r="WBY169" s="955"/>
      <c r="WBZ169" s="963"/>
      <c r="WCA169" s="2242"/>
      <c r="WCB169" s="1360"/>
      <c r="WCC169" s="955"/>
      <c r="WCD169" s="1361"/>
      <c r="WCE169" s="1360"/>
      <c r="WCF169" s="1925"/>
      <c r="WCG169" s="955"/>
      <c r="WCH169" s="963"/>
      <c r="WCI169" s="2242"/>
      <c r="WCJ169" s="1360"/>
      <c r="WCK169" s="955"/>
      <c r="WCL169" s="1361"/>
      <c r="WCM169" s="1360"/>
      <c r="WCN169" s="1925"/>
      <c r="WCO169" s="955"/>
      <c r="WCP169" s="963"/>
      <c r="WCQ169" s="2242"/>
      <c r="WCR169" s="1360"/>
      <c r="WCS169" s="955"/>
      <c r="WCT169" s="1361"/>
      <c r="WCU169" s="1360"/>
      <c r="WCV169" s="1925"/>
      <c r="WCW169" s="955"/>
      <c r="WCX169" s="963"/>
      <c r="WCY169" s="2242"/>
      <c r="WCZ169" s="1360"/>
      <c r="WDA169" s="955"/>
      <c r="WDB169" s="1361"/>
      <c r="WDC169" s="1360"/>
      <c r="WDD169" s="1925"/>
      <c r="WDE169" s="955"/>
      <c r="WDF169" s="963"/>
      <c r="WDG169" s="2242"/>
      <c r="WDH169" s="1360"/>
      <c r="WDI169" s="955"/>
      <c r="WDJ169" s="1361"/>
      <c r="WDK169" s="1360"/>
      <c r="WDL169" s="1925"/>
      <c r="WDM169" s="955"/>
      <c r="WDN169" s="963"/>
      <c r="WDO169" s="2242"/>
      <c r="WDP169" s="1360"/>
      <c r="WDQ169" s="955"/>
      <c r="WDR169" s="1361"/>
      <c r="WDS169" s="1360"/>
      <c r="WDT169" s="1925"/>
      <c r="WDU169" s="955"/>
      <c r="WDV169" s="963"/>
      <c r="WDW169" s="2242"/>
      <c r="WDX169" s="1360"/>
      <c r="WDY169" s="955"/>
      <c r="WDZ169" s="1361"/>
      <c r="WEA169" s="1360"/>
      <c r="WEB169" s="1925"/>
      <c r="WEC169" s="955"/>
      <c r="WED169" s="963"/>
      <c r="WEE169" s="2242"/>
      <c r="WEF169" s="1360"/>
      <c r="WEG169" s="955"/>
      <c r="WEH169" s="1361"/>
      <c r="WEI169" s="1360"/>
      <c r="WEJ169" s="1925"/>
      <c r="WEK169" s="955"/>
      <c r="WEL169" s="963"/>
      <c r="WEM169" s="2242"/>
      <c r="WEN169" s="1360"/>
      <c r="WEO169" s="955"/>
      <c r="WEP169" s="1361"/>
      <c r="WEQ169" s="1360"/>
      <c r="WER169" s="1925"/>
      <c r="WES169" s="955"/>
      <c r="WET169" s="963"/>
      <c r="WEU169" s="2242"/>
      <c r="WEV169" s="1360"/>
      <c r="WEW169" s="955"/>
      <c r="WEX169" s="1361"/>
      <c r="WEY169" s="1360"/>
      <c r="WEZ169" s="1925"/>
      <c r="WFA169" s="955"/>
      <c r="WFB169" s="963"/>
      <c r="WFC169" s="2242"/>
      <c r="WFD169" s="1360"/>
      <c r="WFE169" s="955"/>
      <c r="WFF169" s="1361"/>
      <c r="WFG169" s="1360"/>
      <c r="WFH169" s="1925"/>
      <c r="WFI169" s="955"/>
      <c r="WFJ169" s="963"/>
      <c r="WFK169" s="2242"/>
      <c r="WFL169" s="1360"/>
      <c r="WFM169" s="955"/>
      <c r="WFN169" s="1361"/>
      <c r="WFO169" s="1360"/>
      <c r="WFP169" s="1925"/>
      <c r="WFQ169" s="955"/>
      <c r="WFR169" s="963"/>
      <c r="WFS169" s="2242"/>
      <c r="WFT169" s="1360"/>
      <c r="WFU169" s="955"/>
      <c r="WFV169" s="1361"/>
      <c r="WFW169" s="1360"/>
      <c r="WFX169" s="1925"/>
      <c r="WFY169" s="955"/>
      <c r="WFZ169" s="963"/>
      <c r="WGA169" s="2242"/>
      <c r="WGB169" s="1360"/>
      <c r="WGC169" s="955"/>
      <c r="WGD169" s="1361"/>
      <c r="WGE169" s="1360"/>
      <c r="WGF169" s="1925"/>
      <c r="WGG169" s="955"/>
      <c r="WGH169" s="963"/>
      <c r="WGI169" s="2242"/>
      <c r="WGJ169" s="1360"/>
      <c r="WGK169" s="955"/>
      <c r="WGL169" s="1361"/>
      <c r="WGM169" s="1360"/>
      <c r="WGN169" s="1925"/>
      <c r="WGO169" s="955"/>
      <c r="WGP169" s="963"/>
      <c r="WGQ169" s="2242"/>
      <c r="WGR169" s="1360"/>
      <c r="WGS169" s="955"/>
      <c r="WGT169" s="1361"/>
      <c r="WGU169" s="1360"/>
      <c r="WGV169" s="1925"/>
      <c r="WGW169" s="955"/>
      <c r="WGX169" s="963"/>
      <c r="WGY169" s="2242"/>
      <c r="WGZ169" s="1360"/>
      <c r="WHA169" s="955"/>
      <c r="WHB169" s="1361"/>
      <c r="WHC169" s="1360"/>
      <c r="WHD169" s="1925"/>
      <c r="WHE169" s="955"/>
      <c r="WHF169" s="963"/>
      <c r="WHG169" s="2242"/>
      <c r="WHH169" s="1360"/>
      <c r="WHI169" s="955"/>
      <c r="WHJ169" s="1361"/>
      <c r="WHK169" s="1360"/>
      <c r="WHL169" s="1925"/>
      <c r="WHM169" s="955"/>
      <c r="WHN169" s="963"/>
      <c r="WHO169" s="2242"/>
      <c r="WHP169" s="1360"/>
      <c r="WHQ169" s="955"/>
      <c r="WHR169" s="1361"/>
      <c r="WHS169" s="1360"/>
      <c r="WHT169" s="1925"/>
      <c r="WHU169" s="955"/>
      <c r="WHV169" s="963"/>
      <c r="WHW169" s="2242"/>
      <c r="WHX169" s="1360"/>
      <c r="WHY169" s="955"/>
      <c r="WHZ169" s="1361"/>
      <c r="WIA169" s="1360"/>
      <c r="WIB169" s="1925"/>
      <c r="WIC169" s="955"/>
      <c r="WID169" s="963"/>
      <c r="WIE169" s="2242"/>
      <c r="WIF169" s="1360"/>
      <c r="WIG169" s="955"/>
      <c r="WIH169" s="1361"/>
      <c r="WII169" s="1360"/>
      <c r="WIJ169" s="1925"/>
      <c r="WIK169" s="955"/>
      <c r="WIL169" s="963"/>
      <c r="WIM169" s="2242"/>
      <c r="WIN169" s="1360"/>
      <c r="WIO169" s="955"/>
      <c r="WIP169" s="1361"/>
      <c r="WIQ169" s="1360"/>
      <c r="WIR169" s="1925"/>
      <c r="WIS169" s="955"/>
      <c r="WIT169" s="963"/>
      <c r="WIU169" s="2242"/>
      <c r="WIV169" s="1360"/>
      <c r="WIW169" s="955"/>
      <c r="WIX169" s="1361"/>
      <c r="WIY169" s="1360"/>
      <c r="WIZ169" s="1925"/>
      <c r="WJA169" s="955"/>
      <c r="WJB169" s="963"/>
      <c r="WJC169" s="2242"/>
      <c r="WJD169" s="1360"/>
      <c r="WJE169" s="955"/>
      <c r="WJF169" s="1361"/>
      <c r="WJG169" s="1360"/>
      <c r="WJH169" s="1925"/>
      <c r="WJI169" s="955"/>
      <c r="WJJ169" s="963"/>
      <c r="WJK169" s="2242"/>
      <c r="WJL169" s="1360"/>
      <c r="WJM169" s="955"/>
      <c r="WJN169" s="1361"/>
      <c r="WJO169" s="1360"/>
      <c r="WJP169" s="1925"/>
      <c r="WJQ169" s="955"/>
      <c r="WJR169" s="963"/>
      <c r="WJS169" s="2242"/>
      <c r="WJT169" s="1360"/>
      <c r="WJU169" s="955"/>
      <c r="WJV169" s="1361"/>
      <c r="WJW169" s="1360"/>
      <c r="WJX169" s="1925"/>
      <c r="WJY169" s="955"/>
      <c r="WJZ169" s="963"/>
      <c r="WKA169" s="2242"/>
      <c r="WKB169" s="1360"/>
      <c r="WKC169" s="955"/>
      <c r="WKD169" s="1361"/>
      <c r="WKE169" s="1360"/>
      <c r="WKF169" s="1925"/>
      <c r="WKG169" s="955"/>
      <c r="WKH169" s="963"/>
      <c r="WKI169" s="2242"/>
      <c r="WKJ169" s="1360"/>
      <c r="WKK169" s="955"/>
      <c r="WKL169" s="1361"/>
      <c r="WKM169" s="1360"/>
      <c r="WKN169" s="1925"/>
      <c r="WKO169" s="955"/>
      <c r="WKP169" s="963"/>
      <c r="WKQ169" s="2242"/>
      <c r="WKR169" s="1360"/>
      <c r="WKS169" s="955"/>
      <c r="WKT169" s="1361"/>
      <c r="WKU169" s="1360"/>
      <c r="WKV169" s="1925"/>
      <c r="WKW169" s="955"/>
      <c r="WKX169" s="963"/>
      <c r="WKY169" s="2242"/>
      <c r="WKZ169" s="1360"/>
      <c r="WLA169" s="955"/>
      <c r="WLB169" s="1361"/>
      <c r="WLC169" s="1360"/>
      <c r="WLD169" s="1925"/>
      <c r="WLE169" s="955"/>
      <c r="WLF169" s="963"/>
      <c r="WLG169" s="2242"/>
      <c r="WLH169" s="1360"/>
      <c r="WLI169" s="955"/>
      <c r="WLJ169" s="1361"/>
      <c r="WLK169" s="1360"/>
      <c r="WLL169" s="1925"/>
      <c r="WLM169" s="955"/>
      <c r="WLN169" s="963"/>
      <c r="WLO169" s="2242"/>
      <c r="WLP169" s="1360"/>
      <c r="WLQ169" s="955"/>
      <c r="WLR169" s="1361"/>
      <c r="WLS169" s="1360"/>
      <c r="WLT169" s="1925"/>
      <c r="WLU169" s="955"/>
      <c r="WLV169" s="963"/>
      <c r="WLW169" s="2242"/>
      <c r="WLX169" s="1360"/>
      <c r="WLY169" s="955"/>
      <c r="WLZ169" s="1361"/>
      <c r="WMA169" s="1360"/>
      <c r="WMB169" s="1925"/>
      <c r="WMC169" s="955"/>
      <c r="WMD169" s="963"/>
      <c r="WME169" s="2242"/>
      <c r="WMF169" s="1360"/>
      <c r="WMG169" s="955"/>
      <c r="WMH169" s="1361"/>
      <c r="WMI169" s="1360"/>
      <c r="WMJ169" s="1925"/>
      <c r="WMK169" s="955"/>
      <c r="WML169" s="963"/>
      <c r="WMM169" s="2242"/>
      <c r="WMN169" s="1360"/>
      <c r="WMO169" s="955"/>
      <c r="WMP169" s="1361"/>
      <c r="WMQ169" s="1360"/>
      <c r="WMR169" s="1925"/>
      <c r="WMS169" s="955"/>
      <c r="WMT169" s="963"/>
      <c r="WMU169" s="2242"/>
      <c r="WMV169" s="1360"/>
      <c r="WMW169" s="955"/>
      <c r="WMX169" s="1361"/>
      <c r="WMY169" s="1360"/>
      <c r="WMZ169" s="1925"/>
      <c r="WNA169" s="955"/>
      <c r="WNB169" s="963"/>
      <c r="WNC169" s="2242"/>
      <c r="WND169" s="1360"/>
      <c r="WNE169" s="955"/>
      <c r="WNF169" s="1361"/>
      <c r="WNG169" s="1360"/>
      <c r="WNH169" s="1925"/>
      <c r="WNI169" s="955"/>
      <c r="WNJ169" s="963"/>
      <c r="WNK169" s="2242"/>
      <c r="WNL169" s="1360"/>
      <c r="WNM169" s="955"/>
      <c r="WNN169" s="1361"/>
      <c r="WNO169" s="1360"/>
      <c r="WNP169" s="1925"/>
      <c r="WNQ169" s="955"/>
      <c r="WNR169" s="963"/>
      <c r="WNS169" s="2242"/>
      <c r="WNT169" s="1360"/>
      <c r="WNU169" s="955"/>
      <c r="WNV169" s="1361"/>
      <c r="WNW169" s="1360"/>
      <c r="WNX169" s="1925"/>
      <c r="WNY169" s="955"/>
      <c r="WNZ169" s="963"/>
      <c r="WOA169" s="2242"/>
      <c r="WOB169" s="1360"/>
      <c r="WOC169" s="955"/>
      <c r="WOD169" s="1361"/>
      <c r="WOE169" s="1360"/>
      <c r="WOF169" s="1925"/>
      <c r="WOG169" s="955"/>
      <c r="WOH169" s="963"/>
      <c r="WOI169" s="2242"/>
      <c r="WOJ169" s="1360"/>
      <c r="WOK169" s="955"/>
      <c r="WOL169" s="1361"/>
      <c r="WOM169" s="1360"/>
      <c r="WON169" s="1925"/>
      <c r="WOO169" s="955"/>
      <c r="WOP169" s="963"/>
      <c r="WOQ169" s="2242"/>
      <c r="WOR169" s="1360"/>
      <c r="WOS169" s="955"/>
      <c r="WOT169" s="1361"/>
      <c r="WOU169" s="1360"/>
      <c r="WOV169" s="1925"/>
      <c r="WOW169" s="955"/>
      <c r="WOX169" s="963"/>
      <c r="WOY169" s="2242"/>
      <c r="WOZ169" s="1360"/>
      <c r="WPA169" s="955"/>
      <c r="WPB169" s="1361"/>
      <c r="WPC169" s="1360"/>
      <c r="WPD169" s="1925"/>
      <c r="WPE169" s="955"/>
      <c r="WPF169" s="963"/>
      <c r="WPG169" s="2242"/>
      <c r="WPH169" s="1360"/>
      <c r="WPI169" s="955"/>
      <c r="WPJ169" s="1361"/>
      <c r="WPK169" s="1360"/>
      <c r="WPL169" s="1925"/>
      <c r="WPM169" s="955"/>
      <c r="WPN169" s="963"/>
      <c r="WPO169" s="2242"/>
      <c r="WPP169" s="1360"/>
      <c r="WPQ169" s="955"/>
      <c r="WPR169" s="1361"/>
      <c r="WPS169" s="1360"/>
      <c r="WPT169" s="1925"/>
      <c r="WPU169" s="955"/>
      <c r="WPV169" s="963"/>
      <c r="WPW169" s="2242"/>
      <c r="WPX169" s="1360"/>
      <c r="WPY169" s="955"/>
      <c r="WPZ169" s="1361"/>
      <c r="WQA169" s="1360"/>
      <c r="WQB169" s="1925"/>
      <c r="WQC169" s="955"/>
      <c r="WQD169" s="963"/>
      <c r="WQE169" s="2242"/>
      <c r="WQF169" s="1360"/>
      <c r="WQG169" s="955"/>
      <c r="WQH169" s="1361"/>
      <c r="WQI169" s="1360"/>
      <c r="WQJ169" s="1925"/>
      <c r="WQK169" s="955"/>
      <c r="WQL169" s="963"/>
      <c r="WQM169" s="2242"/>
      <c r="WQN169" s="1360"/>
      <c r="WQO169" s="955"/>
      <c r="WQP169" s="1361"/>
      <c r="WQQ169" s="1360"/>
      <c r="WQR169" s="1925"/>
      <c r="WQS169" s="955"/>
      <c r="WQT169" s="963"/>
      <c r="WQU169" s="2242"/>
      <c r="WQV169" s="1360"/>
      <c r="WQW169" s="955"/>
      <c r="WQX169" s="1361"/>
      <c r="WQY169" s="1360"/>
      <c r="WQZ169" s="1925"/>
      <c r="WRA169" s="955"/>
      <c r="WRB169" s="963"/>
      <c r="WRC169" s="2242"/>
      <c r="WRD169" s="1360"/>
      <c r="WRE169" s="955"/>
      <c r="WRF169" s="1361"/>
      <c r="WRG169" s="1360"/>
      <c r="WRH169" s="1925"/>
      <c r="WRI169" s="955"/>
      <c r="WRJ169" s="963"/>
      <c r="WRK169" s="2242"/>
      <c r="WRL169" s="1360"/>
      <c r="WRM169" s="955"/>
      <c r="WRN169" s="1361"/>
      <c r="WRO169" s="1360"/>
      <c r="WRP169" s="1925"/>
      <c r="WRQ169" s="955"/>
      <c r="WRR169" s="963"/>
      <c r="WRS169" s="2242"/>
      <c r="WRT169" s="1360"/>
      <c r="WRU169" s="955"/>
      <c r="WRV169" s="1361"/>
      <c r="WRW169" s="1360"/>
      <c r="WRX169" s="1925"/>
      <c r="WRY169" s="955"/>
      <c r="WRZ169" s="963"/>
      <c r="WSA169" s="2242"/>
      <c r="WSB169" s="1360"/>
      <c r="WSC169" s="955"/>
      <c r="WSD169" s="1361"/>
      <c r="WSE169" s="1360"/>
      <c r="WSF169" s="1925"/>
      <c r="WSG169" s="955"/>
      <c r="WSH169" s="963"/>
      <c r="WSI169" s="2242"/>
      <c r="WSJ169" s="1360"/>
      <c r="WSK169" s="955"/>
      <c r="WSL169" s="1361"/>
      <c r="WSM169" s="1360"/>
      <c r="WSN169" s="1925"/>
      <c r="WSO169" s="955"/>
      <c r="WSP169" s="963"/>
      <c r="WSQ169" s="2242"/>
      <c r="WSR169" s="1360"/>
      <c r="WSS169" s="955"/>
      <c r="WST169" s="1361"/>
      <c r="WSU169" s="1360"/>
      <c r="WSV169" s="1925"/>
      <c r="WSW169" s="955"/>
      <c r="WSX169" s="963"/>
      <c r="WSY169" s="2242"/>
      <c r="WSZ169" s="1360"/>
      <c r="WTA169" s="955"/>
      <c r="WTB169" s="1361"/>
      <c r="WTC169" s="1360"/>
      <c r="WTD169" s="1925"/>
      <c r="WTE169" s="955"/>
      <c r="WTF169" s="963"/>
      <c r="WTG169" s="2242"/>
      <c r="WTH169" s="1360"/>
      <c r="WTI169" s="955"/>
      <c r="WTJ169" s="1361"/>
      <c r="WTK169" s="1360"/>
      <c r="WTL169" s="1925"/>
      <c r="WTM169" s="955"/>
      <c r="WTN169" s="963"/>
      <c r="WTO169" s="2242"/>
      <c r="WTP169" s="1360"/>
      <c r="WTQ169" s="955"/>
      <c r="WTR169" s="1361"/>
      <c r="WTS169" s="1360"/>
      <c r="WTT169" s="1925"/>
      <c r="WTU169" s="955"/>
      <c r="WTV169" s="963"/>
      <c r="WTW169" s="2242"/>
      <c r="WTX169" s="1360"/>
      <c r="WTY169" s="955"/>
      <c r="WTZ169" s="1361"/>
      <c r="WUA169" s="1360"/>
      <c r="WUB169" s="1925"/>
      <c r="WUC169" s="955"/>
      <c r="WUD169" s="963"/>
      <c r="WUE169" s="2242"/>
      <c r="WUF169" s="1360"/>
      <c r="WUG169" s="955"/>
      <c r="WUH169" s="1361"/>
      <c r="WUI169" s="1360"/>
      <c r="WUJ169" s="1925"/>
      <c r="WUK169" s="955"/>
      <c r="WUL169" s="963"/>
      <c r="WUM169" s="2242"/>
      <c r="WUN169" s="1360"/>
      <c r="WUO169" s="955"/>
      <c r="WUP169" s="1361"/>
      <c r="WUQ169" s="1360"/>
      <c r="WUR169" s="1925"/>
      <c r="WUS169" s="955"/>
      <c r="WUT169" s="963"/>
      <c r="WUU169" s="2242"/>
      <c r="WUV169" s="1360"/>
      <c r="WUW169" s="955"/>
      <c r="WUX169" s="1361"/>
      <c r="WUY169" s="1360"/>
      <c r="WUZ169" s="1925"/>
      <c r="WVA169" s="955"/>
      <c r="WVB169" s="963"/>
      <c r="WVC169" s="2242"/>
      <c r="WVD169" s="1360"/>
      <c r="WVE169" s="955"/>
      <c r="WVF169" s="1361"/>
      <c r="WVG169" s="1360"/>
      <c r="WVH169" s="1925"/>
      <c r="WVI169" s="955"/>
      <c r="WVJ169" s="963"/>
      <c r="WVK169" s="2242"/>
      <c r="WVL169" s="1360"/>
      <c r="WVM169" s="955"/>
      <c r="WVN169" s="1361"/>
      <c r="WVO169" s="1360"/>
      <c r="WVP169" s="1925"/>
      <c r="WVQ169" s="955"/>
      <c r="WVR169" s="963"/>
      <c r="WVS169" s="2242"/>
      <c r="WVT169" s="1360"/>
      <c r="WVU169" s="955"/>
      <c r="WVV169" s="1361"/>
      <c r="WVW169" s="1360"/>
      <c r="WVX169" s="1925"/>
      <c r="WVY169" s="955"/>
      <c r="WVZ169" s="963"/>
      <c r="WWA169" s="2242"/>
      <c r="WWB169" s="1360"/>
      <c r="WWC169" s="955"/>
      <c r="WWD169" s="1361"/>
      <c r="WWE169" s="1360"/>
      <c r="WWF169" s="1925"/>
      <c r="WWG169" s="955"/>
      <c r="WWH169" s="963"/>
      <c r="WWI169" s="2242"/>
      <c r="WWJ169" s="1360"/>
      <c r="WWK169" s="955"/>
      <c r="WWL169" s="1361"/>
      <c r="WWM169" s="1360"/>
      <c r="WWN169" s="1925"/>
      <c r="WWO169" s="955"/>
      <c r="WWP169" s="963"/>
      <c r="WWQ169" s="2242"/>
      <c r="WWR169" s="1360"/>
      <c r="WWS169" s="955"/>
      <c r="WWT169" s="1361"/>
      <c r="WWU169" s="1360"/>
      <c r="WWV169" s="1925"/>
      <c r="WWW169" s="955"/>
      <c r="WWX169" s="963"/>
      <c r="WWY169" s="2242"/>
      <c r="WWZ169" s="1360"/>
      <c r="WXA169" s="955"/>
      <c r="WXB169" s="1361"/>
      <c r="WXC169" s="1360"/>
      <c r="WXD169" s="1925"/>
      <c r="WXE169" s="955"/>
      <c r="WXF169" s="963"/>
      <c r="WXG169" s="2242"/>
      <c r="WXH169" s="1360"/>
      <c r="WXI169" s="955"/>
      <c r="WXJ169" s="1361"/>
      <c r="WXK169" s="1360"/>
      <c r="WXL169" s="1925"/>
      <c r="WXM169" s="955"/>
      <c r="WXN169" s="963"/>
      <c r="WXO169" s="2242"/>
      <c r="WXP169" s="1360"/>
      <c r="WXQ169" s="955"/>
      <c r="WXR169" s="1361"/>
      <c r="WXS169" s="1360"/>
      <c r="WXT169" s="1925"/>
      <c r="WXU169" s="955"/>
      <c r="WXV169" s="963"/>
      <c r="WXW169" s="2242"/>
      <c r="WXX169" s="1360"/>
      <c r="WXY169" s="955"/>
      <c r="WXZ169" s="1361"/>
      <c r="WYA169" s="1360"/>
      <c r="WYB169" s="1925"/>
      <c r="WYC169" s="955"/>
      <c r="WYD169" s="963"/>
      <c r="WYE169" s="2242"/>
      <c r="WYF169" s="1360"/>
      <c r="WYG169" s="955"/>
      <c r="WYH169" s="1361"/>
      <c r="WYI169" s="1360"/>
      <c r="WYJ169" s="1925"/>
      <c r="WYK169" s="955"/>
      <c r="WYL169" s="963"/>
      <c r="WYM169" s="2242"/>
      <c r="WYN169" s="1360"/>
      <c r="WYO169" s="955"/>
      <c r="WYP169" s="1361"/>
      <c r="WYQ169" s="1360"/>
      <c r="WYR169" s="1925"/>
      <c r="WYS169" s="955"/>
      <c r="WYT169" s="963"/>
      <c r="WYU169" s="2242"/>
      <c r="WYV169" s="1360"/>
      <c r="WYW169" s="955"/>
      <c r="WYX169" s="1361"/>
      <c r="WYY169" s="1360"/>
      <c r="WYZ169" s="1925"/>
      <c r="WZA169" s="955"/>
      <c r="WZB169" s="963"/>
      <c r="WZC169" s="2242"/>
      <c r="WZD169" s="1360"/>
      <c r="WZE169" s="955"/>
      <c r="WZF169" s="1361"/>
      <c r="WZG169" s="1360"/>
      <c r="WZH169" s="1925"/>
      <c r="WZI169" s="955"/>
      <c r="WZJ169" s="963"/>
      <c r="WZK169" s="2242"/>
      <c r="WZL169" s="1360"/>
      <c r="WZM169" s="955"/>
      <c r="WZN169" s="1361"/>
      <c r="WZO169" s="1360"/>
      <c r="WZP169" s="1925"/>
      <c r="WZQ169" s="955"/>
      <c r="WZR169" s="963"/>
      <c r="WZS169" s="2242"/>
      <c r="WZT169" s="1360"/>
      <c r="WZU169" s="955"/>
      <c r="WZV169" s="1361"/>
      <c r="WZW169" s="1360"/>
      <c r="WZX169" s="1925"/>
      <c r="WZY169" s="955"/>
      <c r="WZZ169" s="963"/>
      <c r="XAA169" s="2242"/>
      <c r="XAB169" s="1360"/>
      <c r="XAC169" s="955"/>
      <c r="XAD169" s="1361"/>
      <c r="XAE169" s="1360"/>
      <c r="XAF169" s="1925"/>
      <c r="XAG169" s="955"/>
      <c r="XAH169" s="963"/>
      <c r="XAI169" s="2242"/>
      <c r="XAJ169" s="1360"/>
      <c r="XAK169" s="955"/>
      <c r="XAL169" s="1361"/>
      <c r="XAM169" s="1360"/>
      <c r="XAN169" s="1925"/>
      <c r="XAO169" s="955"/>
      <c r="XAP169" s="963"/>
      <c r="XAQ169" s="2242"/>
      <c r="XAR169" s="1360"/>
      <c r="XAS169" s="955"/>
      <c r="XAT169" s="1361"/>
      <c r="XAU169" s="1360"/>
      <c r="XAV169" s="1925"/>
      <c r="XAW169" s="955"/>
      <c r="XAX169" s="963"/>
      <c r="XAY169" s="2242"/>
      <c r="XAZ169" s="1360"/>
      <c r="XBA169" s="955"/>
      <c r="XBB169" s="1361"/>
      <c r="XBC169" s="1360"/>
      <c r="XBD169" s="1925"/>
      <c r="XBE169" s="955"/>
      <c r="XBF169" s="963"/>
      <c r="XBG169" s="2242"/>
      <c r="XBH169" s="1360"/>
      <c r="XBI169" s="955"/>
      <c r="XBJ169" s="1361"/>
      <c r="XBK169" s="1360"/>
      <c r="XBL169" s="1925"/>
      <c r="XBM169" s="955"/>
      <c r="XBN169" s="963"/>
      <c r="XBO169" s="2242"/>
      <c r="XBP169" s="1360"/>
      <c r="XBQ169" s="955"/>
      <c r="XBR169" s="1361"/>
      <c r="XBS169" s="1360"/>
      <c r="XBT169" s="1925"/>
      <c r="XBU169" s="955"/>
      <c r="XBV169" s="963"/>
      <c r="XBW169" s="2242"/>
      <c r="XBX169" s="1360"/>
      <c r="XBY169" s="955"/>
      <c r="XBZ169" s="1361"/>
      <c r="XCA169" s="1360"/>
      <c r="XCB169" s="1925"/>
      <c r="XCC169" s="955"/>
      <c r="XCD169" s="963"/>
      <c r="XCE169" s="2242"/>
      <c r="XCF169" s="1360"/>
      <c r="XCG169" s="955"/>
      <c r="XCH169" s="1361"/>
      <c r="XCI169" s="1360"/>
      <c r="XCJ169" s="1925"/>
      <c r="XCK169" s="955"/>
      <c r="XCL169" s="963"/>
      <c r="XCM169" s="2242"/>
      <c r="XCN169" s="1360"/>
      <c r="XCO169" s="955"/>
      <c r="XCP169" s="1361"/>
      <c r="XCQ169" s="1360"/>
      <c r="XCR169" s="1925"/>
      <c r="XCS169" s="955"/>
      <c r="XCT169" s="963"/>
      <c r="XCU169" s="2242"/>
      <c r="XCV169" s="1360"/>
      <c r="XCW169" s="955"/>
      <c r="XCX169" s="1361"/>
      <c r="XCY169" s="1360"/>
      <c r="XCZ169" s="1925"/>
      <c r="XDA169" s="955"/>
      <c r="XDB169" s="963"/>
      <c r="XDC169" s="2242"/>
      <c r="XDD169" s="1360"/>
      <c r="XDE169" s="955"/>
      <c r="XDF169" s="1361"/>
      <c r="XDG169" s="1360"/>
      <c r="XDH169" s="1925"/>
      <c r="XDI169" s="955"/>
      <c r="XDJ169" s="963"/>
      <c r="XDK169" s="2242"/>
      <c r="XDL169" s="1360"/>
      <c r="XDM169" s="955"/>
      <c r="XDN169" s="1361"/>
      <c r="XDO169" s="1360"/>
      <c r="XDP169" s="1925"/>
      <c r="XDQ169" s="955"/>
      <c r="XDR169" s="963"/>
      <c r="XDS169" s="2242"/>
      <c r="XDT169" s="1360"/>
      <c r="XDU169" s="955"/>
      <c r="XDV169" s="1361"/>
      <c r="XDW169" s="1360"/>
      <c r="XDX169" s="1925"/>
      <c r="XDY169" s="955"/>
      <c r="XDZ169" s="963"/>
      <c r="XEA169" s="2242"/>
      <c r="XEB169" s="1360"/>
      <c r="XEC169" s="955"/>
      <c r="XED169" s="1361"/>
      <c r="XEE169" s="1360"/>
      <c r="XEF169" s="1925"/>
      <c r="XEG169" s="955"/>
      <c r="XEH169" s="963"/>
      <c r="XEI169" s="2242"/>
      <c r="XEJ169" s="1360"/>
      <c r="XEK169" s="955"/>
      <c r="XEL169" s="1361"/>
      <c r="XEM169" s="1360"/>
      <c r="XEN169" s="1925"/>
      <c r="XEO169" s="955"/>
      <c r="XEP169" s="963"/>
      <c r="XEQ169" s="2242"/>
      <c r="XER169" s="1360"/>
      <c r="XES169" s="955"/>
      <c r="XET169" s="1361"/>
      <c r="XEU169" s="1360"/>
      <c r="XEV169" s="1925"/>
      <c r="XEW169" s="955"/>
      <c r="XEX169" s="963"/>
      <c r="XEY169" s="2242"/>
      <c r="XEZ169" s="1360"/>
      <c r="XFA169" s="955"/>
      <c r="XFB169" s="1361"/>
      <c r="XFC169" s="1360"/>
      <c r="XFD169" s="1925"/>
    </row>
    <row r="170" spans="1:16384" s="6" customFormat="1" ht="13.8" x14ac:dyDescent="0.25">
      <c r="A170" s="955"/>
      <c r="B170" s="963"/>
      <c r="C170" s="2242"/>
      <c r="D170" s="1360"/>
      <c r="E170" s="1937" t="s">
        <v>703</v>
      </c>
      <c r="F170" s="486"/>
      <c r="G170" s="1938" t="s">
        <v>1296</v>
      </c>
      <c r="H170" s="1938" t="s">
        <v>1296</v>
      </c>
      <c r="I170" s="1938" t="s">
        <v>1296</v>
      </c>
      <c r="J170" s="1930" t="s">
        <v>1298</v>
      </c>
      <c r="K170" s="2242"/>
      <c r="L170" s="1360"/>
      <c r="M170" s="1360"/>
      <c r="N170" s="1360"/>
      <c r="O170" s="1360"/>
      <c r="P170" s="1362"/>
      <c r="Q170" s="955"/>
      <c r="R170" s="963"/>
      <c r="S170" s="2242"/>
      <c r="T170" s="1360"/>
      <c r="U170" s="1360"/>
      <c r="V170" s="1360"/>
      <c r="W170" s="1360"/>
      <c r="X170" s="1362"/>
      <c r="Y170" s="955"/>
      <c r="Z170" s="963"/>
      <c r="AA170" s="2242"/>
      <c r="AB170" s="1360"/>
      <c r="AC170" s="1360"/>
      <c r="AD170" s="1360"/>
      <c r="AE170" s="1360"/>
      <c r="AF170" s="1362"/>
      <c r="AG170" s="955"/>
      <c r="AH170" s="963"/>
      <c r="AI170" s="2242"/>
      <c r="AJ170" s="1360"/>
      <c r="AK170" s="1360"/>
      <c r="AL170" s="1360"/>
      <c r="AM170" s="1360"/>
      <c r="AN170" s="1362"/>
      <c r="AO170" s="955"/>
      <c r="AP170" s="963"/>
      <c r="AQ170" s="2242"/>
      <c r="AR170" s="1360"/>
      <c r="AS170" s="1360"/>
      <c r="AT170" s="1360"/>
      <c r="AU170" s="1360"/>
      <c r="AV170" s="1362"/>
      <c r="AW170" s="955"/>
      <c r="AX170" s="963"/>
      <c r="AY170" s="2242"/>
      <c r="AZ170" s="1360"/>
      <c r="BA170" s="1360"/>
      <c r="BB170" s="1360"/>
      <c r="BC170" s="1360"/>
      <c r="BD170" s="1362"/>
      <c r="BE170" s="955"/>
      <c r="BF170" s="963"/>
      <c r="BG170" s="2242"/>
      <c r="BH170" s="1360"/>
      <c r="BI170" s="1360"/>
      <c r="BJ170" s="1360"/>
      <c r="BK170" s="1360"/>
      <c r="BL170" s="1362"/>
      <c r="BM170" s="955"/>
      <c r="BN170" s="963"/>
      <c r="BO170" s="2242"/>
      <c r="BP170" s="1360"/>
      <c r="BQ170" s="1360"/>
      <c r="BR170" s="1360"/>
      <c r="BS170" s="1360"/>
      <c r="BT170" s="1362"/>
      <c r="BU170" s="955"/>
      <c r="BV170" s="963"/>
      <c r="BW170" s="2242"/>
      <c r="BX170" s="1360"/>
      <c r="BY170" s="1360"/>
      <c r="BZ170" s="1360"/>
      <c r="CA170" s="1360"/>
      <c r="CB170" s="1362"/>
      <c r="CC170" s="955"/>
      <c r="CD170" s="963"/>
      <c r="CE170" s="2242"/>
      <c r="CF170" s="1360"/>
      <c r="CG170" s="1360"/>
      <c r="CH170" s="1360"/>
      <c r="CI170" s="1360"/>
      <c r="CJ170" s="1362"/>
      <c r="CK170" s="955"/>
      <c r="CL170" s="963"/>
      <c r="CM170" s="2242"/>
      <c r="CN170" s="1360"/>
      <c r="CO170" s="1360"/>
      <c r="CP170" s="1360"/>
      <c r="CQ170" s="1360"/>
      <c r="CR170" s="1362"/>
      <c r="CS170" s="955"/>
      <c r="CT170" s="963"/>
      <c r="CU170" s="2242"/>
      <c r="CV170" s="1360"/>
      <c r="CW170" s="1360"/>
      <c r="CX170" s="1360"/>
      <c r="CY170" s="1360"/>
      <c r="CZ170" s="1362"/>
      <c r="DA170" s="955"/>
      <c r="DB170" s="963"/>
      <c r="DC170" s="2242"/>
      <c r="DD170" s="1360"/>
      <c r="DE170" s="1360"/>
      <c r="DF170" s="1360"/>
      <c r="DG170" s="1360"/>
      <c r="DH170" s="1362"/>
      <c r="DI170" s="955"/>
      <c r="DJ170" s="963"/>
      <c r="DK170" s="2242"/>
      <c r="DL170" s="1360"/>
      <c r="DM170" s="1360"/>
      <c r="DN170" s="1360"/>
      <c r="DO170" s="1360"/>
      <c r="DP170" s="1362"/>
      <c r="DQ170" s="955"/>
      <c r="DR170" s="963"/>
      <c r="DS170" s="2242"/>
      <c r="DT170" s="1360"/>
      <c r="DU170" s="1360"/>
      <c r="DV170" s="1360"/>
      <c r="DW170" s="1360"/>
      <c r="DX170" s="1362"/>
      <c r="DY170" s="955"/>
      <c r="DZ170" s="963"/>
      <c r="EA170" s="2242"/>
      <c r="EB170" s="1360"/>
      <c r="EC170" s="1360"/>
      <c r="ED170" s="1360"/>
      <c r="EE170" s="1360"/>
      <c r="EF170" s="1362"/>
      <c r="EG170" s="955"/>
      <c r="EH170" s="963"/>
      <c r="EI170" s="2242"/>
      <c r="EJ170" s="1360"/>
      <c r="EK170" s="1360"/>
      <c r="EL170" s="1360"/>
      <c r="EM170" s="1360"/>
      <c r="EN170" s="1362"/>
      <c r="EO170" s="955"/>
      <c r="EP170" s="963"/>
      <c r="EQ170" s="2242"/>
      <c r="ER170" s="1360"/>
      <c r="ES170" s="1360"/>
      <c r="ET170" s="1360"/>
      <c r="EU170" s="1360"/>
      <c r="EV170" s="1362"/>
      <c r="EW170" s="955"/>
      <c r="EX170" s="963"/>
      <c r="EY170" s="2242"/>
      <c r="EZ170" s="1360"/>
      <c r="FA170" s="1360"/>
      <c r="FB170" s="1360"/>
      <c r="FC170" s="1360"/>
      <c r="FD170" s="1362"/>
      <c r="FE170" s="955"/>
      <c r="FF170" s="963"/>
      <c r="FG170" s="2242"/>
      <c r="FH170" s="1360"/>
      <c r="FI170" s="1360"/>
      <c r="FJ170" s="1360"/>
      <c r="FK170" s="1360"/>
      <c r="FL170" s="1362"/>
      <c r="FM170" s="955"/>
      <c r="FN170" s="963"/>
      <c r="FO170" s="2242"/>
      <c r="FP170" s="1360"/>
      <c r="FQ170" s="1360"/>
      <c r="FR170" s="1360"/>
      <c r="FS170" s="1360"/>
      <c r="FT170" s="1362"/>
      <c r="FU170" s="955"/>
      <c r="FV170" s="963"/>
      <c r="FW170" s="2242"/>
      <c r="FX170" s="1360"/>
      <c r="FY170" s="1360"/>
      <c r="FZ170" s="1360"/>
      <c r="GA170" s="1360"/>
      <c r="GB170" s="1362"/>
      <c r="GC170" s="955"/>
      <c r="GD170" s="963"/>
      <c r="GE170" s="2242"/>
      <c r="GF170" s="1360"/>
      <c r="GG170" s="1360"/>
      <c r="GH170" s="1360"/>
      <c r="GI170" s="1360"/>
      <c r="GJ170" s="1362"/>
      <c r="GK170" s="955"/>
      <c r="GL170" s="963"/>
      <c r="GM170" s="2242"/>
      <c r="GN170" s="1360"/>
      <c r="GO170" s="1360"/>
      <c r="GP170" s="1360"/>
      <c r="GQ170" s="1360"/>
      <c r="GR170" s="1362"/>
      <c r="GS170" s="955"/>
      <c r="GT170" s="963"/>
      <c r="GU170" s="2242"/>
      <c r="GV170" s="1360"/>
      <c r="GW170" s="1360"/>
      <c r="GX170" s="1360"/>
      <c r="GY170" s="1360"/>
      <c r="GZ170" s="1362"/>
      <c r="HA170" s="955"/>
      <c r="HB170" s="963"/>
      <c r="HC170" s="2242"/>
      <c r="HD170" s="1360"/>
      <c r="HE170" s="1360"/>
      <c r="HF170" s="1360"/>
      <c r="HG170" s="1360"/>
      <c r="HH170" s="1362"/>
      <c r="HI170" s="955"/>
      <c r="HJ170" s="963"/>
      <c r="HK170" s="2242"/>
      <c r="HL170" s="1360"/>
      <c r="HM170" s="1360"/>
      <c r="HN170" s="1360"/>
      <c r="HO170" s="1360"/>
      <c r="HP170" s="1362"/>
      <c r="HQ170" s="955"/>
      <c r="HR170" s="963"/>
      <c r="HS170" s="2242"/>
      <c r="HT170" s="1360"/>
      <c r="HU170" s="1360"/>
      <c r="HV170" s="1360"/>
      <c r="HW170" s="1360"/>
      <c r="HX170" s="1362"/>
      <c r="HY170" s="955"/>
      <c r="HZ170" s="963"/>
      <c r="IA170" s="2242"/>
      <c r="IB170" s="1360"/>
      <c r="IC170" s="1360"/>
      <c r="ID170" s="1360"/>
      <c r="IE170" s="1360"/>
      <c r="IF170" s="1362"/>
      <c r="IG170" s="955"/>
      <c r="IH170" s="963"/>
      <c r="II170" s="2242"/>
      <c r="IJ170" s="1360"/>
      <c r="IK170" s="1360"/>
      <c r="IL170" s="1360"/>
      <c r="IM170" s="1360"/>
      <c r="IN170" s="1362"/>
      <c r="IO170" s="955"/>
      <c r="IP170" s="963"/>
      <c r="IQ170" s="2242"/>
      <c r="IR170" s="1360"/>
      <c r="IS170" s="1360"/>
      <c r="IT170" s="1360"/>
      <c r="IU170" s="1360"/>
      <c r="IV170" s="1362"/>
      <c r="IW170" s="955"/>
      <c r="IX170" s="963"/>
      <c r="IY170" s="2242"/>
      <c r="IZ170" s="1360"/>
      <c r="JA170" s="1360"/>
      <c r="JB170" s="1360"/>
      <c r="JC170" s="1360"/>
      <c r="JD170" s="1362"/>
      <c r="JE170" s="955"/>
      <c r="JF170" s="963"/>
      <c r="JG170" s="2242"/>
      <c r="JH170" s="1360"/>
      <c r="JI170" s="1360"/>
      <c r="JJ170" s="1360"/>
      <c r="JK170" s="1360"/>
      <c r="JL170" s="1362"/>
      <c r="JM170" s="955"/>
      <c r="JN170" s="963"/>
      <c r="JO170" s="2242"/>
      <c r="JP170" s="1360"/>
      <c r="JQ170" s="1360"/>
      <c r="JR170" s="1360"/>
      <c r="JS170" s="1360"/>
      <c r="JT170" s="1362"/>
      <c r="JU170" s="955"/>
      <c r="JV170" s="963"/>
      <c r="JW170" s="2242"/>
      <c r="JX170" s="1360"/>
      <c r="JY170" s="1360"/>
      <c r="JZ170" s="1360"/>
      <c r="KA170" s="1360"/>
      <c r="KB170" s="1362"/>
      <c r="KC170" s="955"/>
      <c r="KD170" s="963"/>
      <c r="KE170" s="2242"/>
      <c r="KF170" s="1360"/>
      <c r="KG170" s="1360"/>
      <c r="KH170" s="1360"/>
      <c r="KI170" s="1360"/>
      <c r="KJ170" s="1362"/>
      <c r="KK170" s="955"/>
      <c r="KL170" s="963"/>
      <c r="KM170" s="2242"/>
      <c r="KN170" s="1360"/>
      <c r="KO170" s="1360"/>
      <c r="KP170" s="1360"/>
      <c r="KQ170" s="1360"/>
      <c r="KR170" s="1362"/>
      <c r="KS170" s="955"/>
      <c r="KT170" s="963"/>
      <c r="KU170" s="2242"/>
      <c r="KV170" s="1360"/>
      <c r="KW170" s="1360"/>
      <c r="KX170" s="1360"/>
      <c r="KY170" s="1360"/>
      <c r="KZ170" s="1362"/>
      <c r="LA170" s="955"/>
      <c r="LB170" s="963"/>
      <c r="LC170" s="2242"/>
      <c r="LD170" s="1360"/>
      <c r="LE170" s="1360"/>
      <c r="LF170" s="1360"/>
      <c r="LG170" s="1360"/>
      <c r="LH170" s="1362"/>
      <c r="LI170" s="955"/>
      <c r="LJ170" s="963"/>
      <c r="LK170" s="2242"/>
      <c r="LL170" s="1360"/>
      <c r="LM170" s="1360"/>
      <c r="LN170" s="1360"/>
      <c r="LO170" s="1360"/>
      <c r="LP170" s="1362"/>
      <c r="LQ170" s="955"/>
      <c r="LR170" s="963"/>
      <c r="LS170" s="2242"/>
      <c r="LT170" s="1360"/>
      <c r="LU170" s="1360"/>
      <c r="LV170" s="1360"/>
      <c r="LW170" s="1360"/>
      <c r="LX170" s="1362"/>
      <c r="LY170" s="955"/>
      <c r="LZ170" s="963"/>
      <c r="MA170" s="2242"/>
      <c r="MB170" s="1360"/>
      <c r="MC170" s="1360"/>
      <c r="MD170" s="1360"/>
      <c r="ME170" s="1360"/>
      <c r="MF170" s="1362"/>
      <c r="MG170" s="955"/>
      <c r="MH170" s="963"/>
      <c r="MI170" s="2242"/>
      <c r="MJ170" s="1360"/>
      <c r="MK170" s="1360"/>
      <c r="ML170" s="1360"/>
      <c r="MM170" s="1360"/>
      <c r="MN170" s="1362"/>
      <c r="MO170" s="955"/>
      <c r="MP170" s="963"/>
      <c r="MQ170" s="2242"/>
      <c r="MR170" s="1360"/>
      <c r="MS170" s="1360"/>
      <c r="MT170" s="1360"/>
      <c r="MU170" s="1360"/>
      <c r="MV170" s="1362"/>
      <c r="MW170" s="955"/>
      <c r="MX170" s="963"/>
      <c r="MY170" s="2242"/>
      <c r="MZ170" s="1360"/>
      <c r="NA170" s="1360"/>
      <c r="NB170" s="1360"/>
      <c r="NC170" s="1360"/>
      <c r="ND170" s="1362"/>
      <c r="NE170" s="955"/>
      <c r="NF170" s="963"/>
      <c r="NG170" s="2242"/>
      <c r="NH170" s="1360"/>
      <c r="NI170" s="1360"/>
      <c r="NJ170" s="1360"/>
      <c r="NK170" s="1360"/>
      <c r="NL170" s="1362"/>
      <c r="NM170" s="955"/>
      <c r="NN170" s="963"/>
      <c r="NO170" s="2242"/>
      <c r="NP170" s="1360"/>
      <c r="NQ170" s="1360"/>
      <c r="NR170" s="1360"/>
      <c r="NS170" s="1360"/>
      <c r="NT170" s="1362"/>
      <c r="NU170" s="955"/>
      <c r="NV170" s="963"/>
      <c r="NW170" s="2242"/>
      <c r="NX170" s="1360"/>
      <c r="NY170" s="1360"/>
      <c r="NZ170" s="1360"/>
      <c r="OA170" s="1360"/>
      <c r="OB170" s="1362"/>
      <c r="OC170" s="955"/>
      <c r="OD170" s="963"/>
      <c r="OE170" s="2242"/>
      <c r="OF170" s="1360"/>
      <c r="OG170" s="1360"/>
      <c r="OH170" s="1360"/>
      <c r="OI170" s="1360"/>
      <c r="OJ170" s="1362"/>
      <c r="OK170" s="955"/>
      <c r="OL170" s="963"/>
      <c r="OM170" s="2242"/>
      <c r="ON170" s="1360"/>
      <c r="OO170" s="1360"/>
      <c r="OP170" s="1360"/>
      <c r="OQ170" s="1360"/>
      <c r="OR170" s="1362"/>
      <c r="OS170" s="955"/>
      <c r="OT170" s="963"/>
      <c r="OU170" s="2242"/>
      <c r="OV170" s="1360"/>
      <c r="OW170" s="1360"/>
      <c r="OX170" s="1360"/>
      <c r="OY170" s="1360"/>
      <c r="OZ170" s="1362"/>
      <c r="PA170" s="955"/>
      <c r="PB170" s="963"/>
      <c r="PC170" s="2242"/>
      <c r="PD170" s="1360"/>
      <c r="PE170" s="1360"/>
      <c r="PF170" s="1360"/>
      <c r="PG170" s="1360"/>
      <c r="PH170" s="1362"/>
      <c r="PI170" s="955"/>
      <c r="PJ170" s="963"/>
      <c r="PK170" s="2242"/>
      <c r="PL170" s="1360"/>
      <c r="PM170" s="1360"/>
      <c r="PN170" s="1360"/>
      <c r="PO170" s="1360"/>
      <c r="PP170" s="1362"/>
      <c r="PQ170" s="955"/>
      <c r="PR170" s="963"/>
      <c r="PS170" s="2242"/>
      <c r="PT170" s="1360"/>
      <c r="PU170" s="1360"/>
      <c r="PV170" s="1360"/>
      <c r="PW170" s="1360"/>
      <c r="PX170" s="1362"/>
      <c r="PY170" s="955"/>
      <c r="PZ170" s="963"/>
      <c r="QA170" s="2242"/>
      <c r="QB170" s="1360"/>
      <c r="QC170" s="1360"/>
      <c r="QD170" s="1360"/>
      <c r="QE170" s="1360"/>
      <c r="QF170" s="1362"/>
      <c r="QG170" s="955"/>
      <c r="QH170" s="963"/>
      <c r="QI170" s="2242"/>
      <c r="QJ170" s="1360"/>
      <c r="QK170" s="1360"/>
      <c r="QL170" s="1360"/>
      <c r="QM170" s="1360"/>
      <c r="QN170" s="1362"/>
      <c r="QO170" s="955"/>
      <c r="QP170" s="963"/>
      <c r="QQ170" s="2242"/>
      <c r="QR170" s="1360"/>
      <c r="QS170" s="1360"/>
      <c r="QT170" s="1360"/>
      <c r="QU170" s="1360"/>
      <c r="QV170" s="1362"/>
      <c r="QW170" s="955"/>
      <c r="QX170" s="963"/>
      <c r="QY170" s="2242"/>
      <c r="QZ170" s="1360"/>
      <c r="RA170" s="1360"/>
      <c r="RB170" s="1360"/>
      <c r="RC170" s="1360"/>
      <c r="RD170" s="1362"/>
      <c r="RE170" s="955"/>
      <c r="RF170" s="963"/>
      <c r="RG170" s="2242"/>
      <c r="RH170" s="1360"/>
      <c r="RI170" s="1360"/>
      <c r="RJ170" s="1360"/>
      <c r="RK170" s="1360"/>
      <c r="RL170" s="1362"/>
      <c r="RM170" s="955"/>
      <c r="RN170" s="963"/>
      <c r="RO170" s="2242"/>
      <c r="RP170" s="1360"/>
      <c r="RQ170" s="1360"/>
      <c r="RR170" s="1360"/>
      <c r="RS170" s="1360"/>
      <c r="RT170" s="1362"/>
      <c r="RU170" s="955"/>
      <c r="RV170" s="963"/>
      <c r="RW170" s="2242"/>
      <c r="RX170" s="1360"/>
      <c r="RY170" s="1360"/>
      <c r="RZ170" s="1360"/>
      <c r="SA170" s="1360"/>
      <c r="SB170" s="1362"/>
      <c r="SC170" s="955"/>
      <c r="SD170" s="963"/>
      <c r="SE170" s="2242"/>
      <c r="SF170" s="1360"/>
      <c r="SG170" s="1360"/>
      <c r="SH170" s="1360"/>
      <c r="SI170" s="1360"/>
      <c r="SJ170" s="1362"/>
      <c r="SK170" s="955"/>
      <c r="SL170" s="963"/>
      <c r="SM170" s="2242"/>
      <c r="SN170" s="1360"/>
      <c r="SO170" s="1360"/>
      <c r="SP170" s="1360"/>
      <c r="SQ170" s="1360"/>
      <c r="SR170" s="1362"/>
      <c r="SS170" s="955"/>
      <c r="ST170" s="963"/>
      <c r="SU170" s="2242"/>
      <c r="SV170" s="1360"/>
      <c r="SW170" s="1360"/>
      <c r="SX170" s="1360"/>
      <c r="SY170" s="1360"/>
      <c r="SZ170" s="1362"/>
      <c r="TA170" s="955"/>
      <c r="TB170" s="963"/>
      <c r="TC170" s="2242"/>
      <c r="TD170" s="1360"/>
      <c r="TE170" s="1360"/>
      <c r="TF170" s="1360"/>
      <c r="TG170" s="1360"/>
      <c r="TH170" s="1362"/>
      <c r="TI170" s="955"/>
      <c r="TJ170" s="963"/>
      <c r="TK170" s="2242"/>
      <c r="TL170" s="1360"/>
      <c r="TM170" s="1360"/>
      <c r="TN170" s="1360"/>
      <c r="TO170" s="1360"/>
      <c r="TP170" s="1362"/>
      <c r="TQ170" s="955"/>
      <c r="TR170" s="963"/>
      <c r="TS170" s="2242"/>
      <c r="TT170" s="1360"/>
      <c r="TU170" s="1360"/>
      <c r="TV170" s="1360"/>
      <c r="TW170" s="1360"/>
      <c r="TX170" s="1362"/>
      <c r="TY170" s="955"/>
      <c r="TZ170" s="963"/>
      <c r="UA170" s="2242"/>
      <c r="UB170" s="1360"/>
      <c r="UC170" s="1360"/>
      <c r="UD170" s="1360"/>
      <c r="UE170" s="1360"/>
      <c r="UF170" s="1362"/>
      <c r="UG170" s="955"/>
      <c r="UH170" s="963"/>
      <c r="UI170" s="2242"/>
      <c r="UJ170" s="1360"/>
      <c r="UK170" s="1360"/>
      <c r="UL170" s="1360"/>
      <c r="UM170" s="1360"/>
      <c r="UN170" s="1362"/>
      <c r="UO170" s="955"/>
      <c r="UP170" s="963"/>
      <c r="UQ170" s="2242"/>
      <c r="UR170" s="1360"/>
      <c r="US170" s="1360"/>
      <c r="UT170" s="1360"/>
      <c r="UU170" s="1360"/>
      <c r="UV170" s="1362"/>
      <c r="UW170" s="955"/>
      <c r="UX170" s="963"/>
      <c r="UY170" s="2242"/>
      <c r="UZ170" s="1360"/>
      <c r="VA170" s="1360"/>
      <c r="VB170" s="1360"/>
      <c r="VC170" s="1360"/>
      <c r="VD170" s="1362"/>
      <c r="VE170" s="955"/>
      <c r="VF170" s="963"/>
      <c r="VG170" s="2242"/>
      <c r="VH170" s="1360"/>
      <c r="VI170" s="1360"/>
      <c r="VJ170" s="1360"/>
      <c r="VK170" s="1360"/>
      <c r="VL170" s="1362"/>
      <c r="VM170" s="955"/>
      <c r="VN170" s="963"/>
      <c r="VO170" s="2242"/>
      <c r="VP170" s="1360"/>
      <c r="VQ170" s="1360"/>
      <c r="VR170" s="1360"/>
      <c r="VS170" s="1360"/>
      <c r="VT170" s="1362"/>
      <c r="VU170" s="955"/>
      <c r="VV170" s="963"/>
      <c r="VW170" s="2242"/>
      <c r="VX170" s="1360"/>
      <c r="VY170" s="1360"/>
      <c r="VZ170" s="1360"/>
      <c r="WA170" s="1360"/>
      <c r="WB170" s="1362"/>
      <c r="WC170" s="955"/>
      <c r="WD170" s="963"/>
      <c r="WE170" s="2242"/>
      <c r="WF170" s="1360"/>
      <c r="WG170" s="1360"/>
      <c r="WH170" s="1360"/>
      <c r="WI170" s="1360"/>
      <c r="WJ170" s="1362"/>
      <c r="WK170" s="955"/>
      <c r="WL170" s="963"/>
      <c r="WM170" s="2242"/>
      <c r="WN170" s="1360"/>
      <c r="WO170" s="1360"/>
      <c r="WP170" s="1360"/>
      <c r="WQ170" s="1360"/>
      <c r="WR170" s="1362"/>
      <c r="WS170" s="955"/>
      <c r="WT170" s="963"/>
      <c r="WU170" s="2242"/>
      <c r="WV170" s="1360"/>
      <c r="WW170" s="1360"/>
      <c r="WX170" s="1360"/>
      <c r="WY170" s="1360"/>
      <c r="WZ170" s="1362"/>
      <c r="XA170" s="955"/>
      <c r="XB170" s="963"/>
      <c r="XC170" s="2242"/>
      <c r="XD170" s="1360"/>
      <c r="XE170" s="1360"/>
      <c r="XF170" s="1360"/>
      <c r="XG170" s="1360"/>
      <c r="XH170" s="1362"/>
      <c r="XI170" s="955"/>
      <c r="XJ170" s="963"/>
      <c r="XK170" s="2242"/>
      <c r="XL170" s="1360"/>
      <c r="XM170" s="1360"/>
      <c r="XN170" s="1360"/>
      <c r="XO170" s="1360"/>
      <c r="XP170" s="1362"/>
      <c r="XQ170" s="955"/>
      <c r="XR170" s="963"/>
      <c r="XS170" s="2242"/>
      <c r="XT170" s="1360"/>
      <c r="XU170" s="1360"/>
      <c r="XV170" s="1360"/>
      <c r="XW170" s="1360"/>
      <c r="XX170" s="1362"/>
      <c r="XY170" s="955"/>
      <c r="XZ170" s="963"/>
      <c r="YA170" s="2242"/>
      <c r="YB170" s="1360"/>
      <c r="YC170" s="1360"/>
      <c r="YD170" s="1360"/>
      <c r="YE170" s="1360"/>
      <c r="YF170" s="1362"/>
      <c r="YG170" s="955"/>
      <c r="YH170" s="963"/>
      <c r="YI170" s="2242"/>
      <c r="YJ170" s="1360"/>
      <c r="YK170" s="1360"/>
      <c r="YL170" s="1360"/>
      <c r="YM170" s="1360"/>
      <c r="YN170" s="1362"/>
      <c r="YO170" s="955"/>
      <c r="YP170" s="963"/>
      <c r="YQ170" s="2242"/>
      <c r="YR170" s="1360"/>
      <c r="YS170" s="1360"/>
      <c r="YT170" s="1360"/>
      <c r="YU170" s="1360"/>
      <c r="YV170" s="1362"/>
      <c r="YW170" s="955"/>
      <c r="YX170" s="963"/>
      <c r="YY170" s="2242"/>
      <c r="YZ170" s="1360"/>
      <c r="ZA170" s="1360"/>
      <c r="ZB170" s="1360"/>
      <c r="ZC170" s="1360"/>
      <c r="ZD170" s="1362"/>
      <c r="ZE170" s="955"/>
      <c r="ZF170" s="963"/>
      <c r="ZG170" s="2242"/>
      <c r="ZH170" s="1360"/>
      <c r="ZI170" s="1360"/>
      <c r="ZJ170" s="1360"/>
      <c r="ZK170" s="1360"/>
      <c r="ZL170" s="1362"/>
      <c r="ZM170" s="955"/>
      <c r="ZN170" s="963"/>
      <c r="ZO170" s="2242"/>
      <c r="ZP170" s="1360"/>
      <c r="ZQ170" s="1360"/>
      <c r="ZR170" s="1360"/>
      <c r="ZS170" s="1360"/>
      <c r="ZT170" s="1362"/>
      <c r="ZU170" s="955"/>
      <c r="ZV170" s="963"/>
      <c r="ZW170" s="2242"/>
      <c r="ZX170" s="1360"/>
      <c r="ZY170" s="1360"/>
      <c r="ZZ170" s="1360"/>
      <c r="AAA170" s="1360"/>
      <c r="AAB170" s="1362"/>
      <c r="AAC170" s="955"/>
      <c r="AAD170" s="963"/>
      <c r="AAE170" s="2242"/>
      <c r="AAF170" s="1360"/>
      <c r="AAG170" s="1360"/>
      <c r="AAH170" s="1360"/>
      <c r="AAI170" s="1360"/>
      <c r="AAJ170" s="1362"/>
      <c r="AAK170" s="955"/>
      <c r="AAL170" s="963"/>
      <c r="AAM170" s="2242"/>
      <c r="AAN170" s="1360"/>
      <c r="AAO170" s="1360"/>
      <c r="AAP170" s="1360"/>
      <c r="AAQ170" s="1360"/>
      <c r="AAR170" s="1362"/>
      <c r="AAS170" s="955"/>
      <c r="AAT170" s="963"/>
      <c r="AAU170" s="2242"/>
      <c r="AAV170" s="1360"/>
      <c r="AAW170" s="1360"/>
      <c r="AAX170" s="1360"/>
      <c r="AAY170" s="1360"/>
      <c r="AAZ170" s="1362"/>
      <c r="ABA170" s="955"/>
      <c r="ABB170" s="963"/>
      <c r="ABC170" s="2242"/>
      <c r="ABD170" s="1360"/>
      <c r="ABE170" s="1360"/>
      <c r="ABF170" s="1360"/>
      <c r="ABG170" s="1360"/>
      <c r="ABH170" s="1362"/>
      <c r="ABI170" s="955"/>
      <c r="ABJ170" s="963"/>
      <c r="ABK170" s="2242"/>
      <c r="ABL170" s="1360"/>
      <c r="ABM170" s="1360"/>
      <c r="ABN170" s="1360"/>
      <c r="ABO170" s="1360"/>
      <c r="ABP170" s="1362"/>
      <c r="ABQ170" s="955"/>
      <c r="ABR170" s="963"/>
      <c r="ABS170" s="2242"/>
      <c r="ABT170" s="1360"/>
      <c r="ABU170" s="1360"/>
      <c r="ABV170" s="1360"/>
      <c r="ABW170" s="1360"/>
      <c r="ABX170" s="1362"/>
      <c r="ABY170" s="955"/>
      <c r="ABZ170" s="963"/>
      <c r="ACA170" s="2242"/>
      <c r="ACB170" s="1360"/>
      <c r="ACC170" s="1360"/>
      <c r="ACD170" s="1360"/>
      <c r="ACE170" s="1360"/>
      <c r="ACF170" s="1362"/>
      <c r="ACG170" s="955"/>
      <c r="ACH170" s="963"/>
      <c r="ACI170" s="2242"/>
      <c r="ACJ170" s="1360"/>
      <c r="ACK170" s="1360"/>
      <c r="ACL170" s="1360"/>
      <c r="ACM170" s="1360"/>
      <c r="ACN170" s="1362"/>
      <c r="ACO170" s="955"/>
      <c r="ACP170" s="963"/>
      <c r="ACQ170" s="2242"/>
      <c r="ACR170" s="1360"/>
      <c r="ACS170" s="1360"/>
      <c r="ACT170" s="1360"/>
      <c r="ACU170" s="1360"/>
      <c r="ACV170" s="1362"/>
      <c r="ACW170" s="955"/>
      <c r="ACX170" s="963"/>
      <c r="ACY170" s="2242"/>
      <c r="ACZ170" s="1360"/>
      <c r="ADA170" s="1360"/>
      <c r="ADB170" s="1360"/>
      <c r="ADC170" s="1360"/>
      <c r="ADD170" s="1362"/>
      <c r="ADE170" s="955"/>
      <c r="ADF170" s="963"/>
      <c r="ADG170" s="2242"/>
      <c r="ADH170" s="1360"/>
      <c r="ADI170" s="1360"/>
      <c r="ADJ170" s="1360"/>
      <c r="ADK170" s="1360"/>
      <c r="ADL170" s="1362"/>
      <c r="ADM170" s="955"/>
      <c r="ADN170" s="963"/>
      <c r="ADO170" s="2242"/>
      <c r="ADP170" s="1360"/>
      <c r="ADQ170" s="1360"/>
      <c r="ADR170" s="1360"/>
      <c r="ADS170" s="1360"/>
      <c r="ADT170" s="1362"/>
      <c r="ADU170" s="955"/>
      <c r="ADV170" s="963"/>
      <c r="ADW170" s="2242"/>
      <c r="ADX170" s="1360"/>
      <c r="ADY170" s="1360"/>
      <c r="ADZ170" s="1360"/>
      <c r="AEA170" s="1360"/>
      <c r="AEB170" s="1362"/>
      <c r="AEC170" s="955"/>
      <c r="AED170" s="963"/>
      <c r="AEE170" s="2242"/>
      <c r="AEF170" s="1360"/>
      <c r="AEG170" s="1360"/>
      <c r="AEH170" s="1360"/>
      <c r="AEI170" s="1360"/>
      <c r="AEJ170" s="1362"/>
      <c r="AEK170" s="955"/>
      <c r="AEL170" s="963"/>
      <c r="AEM170" s="2242"/>
      <c r="AEN170" s="1360"/>
      <c r="AEO170" s="1360"/>
      <c r="AEP170" s="1360"/>
      <c r="AEQ170" s="1360"/>
      <c r="AER170" s="1362"/>
      <c r="AES170" s="955"/>
      <c r="AET170" s="963"/>
      <c r="AEU170" s="2242"/>
      <c r="AEV170" s="1360"/>
      <c r="AEW170" s="1360"/>
      <c r="AEX170" s="1360"/>
      <c r="AEY170" s="1360"/>
      <c r="AEZ170" s="1362"/>
      <c r="AFA170" s="955"/>
      <c r="AFB170" s="963"/>
      <c r="AFC170" s="2242"/>
      <c r="AFD170" s="1360"/>
      <c r="AFE170" s="1360"/>
      <c r="AFF170" s="1360"/>
      <c r="AFG170" s="1360"/>
      <c r="AFH170" s="1362"/>
      <c r="AFI170" s="955"/>
      <c r="AFJ170" s="963"/>
      <c r="AFK170" s="2242"/>
      <c r="AFL170" s="1360"/>
      <c r="AFM170" s="1360"/>
      <c r="AFN170" s="1360"/>
      <c r="AFO170" s="1360"/>
      <c r="AFP170" s="1362"/>
      <c r="AFQ170" s="955"/>
      <c r="AFR170" s="963"/>
      <c r="AFS170" s="2242"/>
      <c r="AFT170" s="1360"/>
      <c r="AFU170" s="1360"/>
      <c r="AFV170" s="1360"/>
      <c r="AFW170" s="1360"/>
      <c r="AFX170" s="1362"/>
      <c r="AFY170" s="955"/>
      <c r="AFZ170" s="963"/>
      <c r="AGA170" s="2242"/>
      <c r="AGB170" s="1360"/>
      <c r="AGC170" s="1360"/>
      <c r="AGD170" s="1360"/>
      <c r="AGE170" s="1360"/>
      <c r="AGF170" s="1362"/>
      <c r="AGG170" s="955"/>
      <c r="AGH170" s="963"/>
      <c r="AGI170" s="2242"/>
      <c r="AGJ170" s="1360"/>
      <c r="AGK170" s="1360"/>
      <c r="AGL170" s="1360"/>
      <c r="AGM170" s="1360"/>
      <c r="AGN170" s="1362"/>
      <c r="AGO170" s="955"/>
      <c r="AGP170" s="963"/>
      <c r="AGQ170" s="2242"/>
      <c r="AGR170" s="1360"/>
      <c r="AGS170" s="1360"/>
      <c r="AGT170" s="1360"/>
      <c r="AGU170" s="1360"/>
      <c r="AGV170" s="1362"/>
      <c r="AGW170" s="955"/>
      <c r="AGX170" s="963"/>
      <c r="AGY170" s="2242"/>
      <c r="AGZ170" s="1360"/>
      <c r="AHA170" s="1360"/>
      <c r="AHB170" s="1360"/>
      <c r="AHC170" s="1360"/>
      <c r="AHD170" s="1362"/>
      <c r="AHE170" s="955"/>
      <c r="AHF170" s="963"/>
      <c r="AHG170" s="2242"/>
      <c r="AHH170" s="1360"/>
      <c r="AHI170" s="1360"/>
      <c r="AHJ170" s="1360"/>
      <c r="AHK170" s="1360"/>
      <c r="AHL170" s="1362"/>
      <c r="AHM170" s="955"/>
      <c r="AHN170" s="963"/>
      <c r="AHO170" s="2242"/>
      <c r="AHP170" s="1360"/>
      <c r="AHQ170" s="1360"/>
      <c r="AHR170" s="1360"/>
      <c r="AHS170" s="1360"/>
      <c r="AHT170" s="1362"/>
      <c r="AHU170" s="955"/>
      <c r="AHV170" s="963"/>
      <c r="AHW170" s="2242"/>
      <c r="AHX170" s="1360"/>
      <c r="AHY170" s="1360"/>
      <c r="AHZ170" s="1360"/>
      <c r="AIA170" s="1360"/>
      <c r="AIB170" s="1362"/>
      <c r="AIC170" s="955"/>
      <c r="AID170" s="963"/>
      <c r="AIE170" s="2242"/>
      <c r="AIF170" s="1360"/>
      <c r="AIG170" s="1360"/>
      <c r="AIH170" s="1360"/>
      <c r="AII170" s="1360"/>
      <c r="AIJ170" s="1362"/>
      <c r="AIK170" s="955"/>
      <c r="AIL170" s="963"/>
      <c r="AIM170" s="2242"/>
      <c r="AIN170" s="1360"/>
      <c r="AIO170" s="1360"/>
      <c r="AIP170" s="1360"/>
      <c r="AIQ170" s="1360"/>
      <c r="AIR170" s="1362"/>
      <c r="AIS170" s="955"/>
      <c r="AIT170" s="963"/>
      <c r="AIU170" s="2242"/>
      <c r="AIV170" s="1360"/>
      <c r="AIW170" s="1360"/>
      <c r="AIX170" s="1360"/>
      <c r="AIY170" s="1360"/>
      <c r="AIZ170" s="1362"/>
      <c r="AJA170" s="955"/>
      <c r="AJB170" s="963"/>
      <c r="AJC170" s="2242"/>
      <c r="AJD170" s="1360"/>
      <c r="AJE170" s="1360"/>
      <c r="AJF170" s="1360"/>
      <c r="AJG170" s="1360"/>
      <c r="AJH170" s="1362"/>
      <c r="AJI170" s="955"/>
      <c r="AJJ170" s="963"/>
      <c r="AJK170" s="2242"/>
      <c r="AJL170" s="1360"/>
      <c r="AJM170" s="1360"/>
      <c r="AJN170" s="1360"/>
      <c r="AJO170" s="1360"/>
      <c r="AJP170" s="1362"/>
      <c r="AJQ170" s="955"/>
      <c r="AJR170" s="963"/>
      <c r="AJS170" s="2242"/>
      <c r="AJT170" s="1360"/>
      <c r="AJU170" s="1360"/>
      <c r="AJV170" s="1360"/>
      <c r="AJW170" s="1360"/>
      <c r="AJX170" s="1362"/>
      <c r="AJY170" s="955"/>
      <c r="AJZ170" s="963"/>
      <c r="AKA170" s="2242"/>
      <c r="AKB170" s="1360"/>
      <c r="AKC170" s="1360"/>
      <c r="AKD170" s="1360"/>
      <c r="AKE170" s="1360"/>
      <c r="AKF170" s="1362"/>
      <c r="AKG170" s="955"/>
      <c r="AKH170" s="963"/>
      <c r="AKI170" s="2242"/>
      <c r="AKJ170" s="1360"/>
      <c r="AKK170" s="1360"/>
      <c r="AKL170" s="1360"/>
      <c r="AKM170" s="1360"/>
      <c r="AKN170" s="1362"/>
      <c r="AKO170" s="955"/>
      <c r="AKP170" s="963"/>
      <c r="AKQ170" s="2242"/>
      <c r="AKR170" s="1360"/>
      <c r="AKS170" s="1360"/>
      <c r="AKT170" s="1360"/>
      <c r="AKU170" s="1360"/>
      <c r="AKV170" s="1362"/>
      <c r="AKW170" s="955"/>
      <c r="AKX170" s="963"/>
      <c r="AKY170" s="2242"/>
      <c r="AKZ170" s="1360"/>
      <c r="ALA170" s="1360"/>
      <c r="ALB170" s="1360"/>
      <c r="ALC170" s="1360"/>
      <c r="ALD170" s="1362"/>
      <c r="ALE170" s="955"/>
      <c r="ALF170" s="963"/>
      <c r="ALG170" s="2242"/>
      <c r="ALH170" s="1360"/>
      <c r="ALI170" s="1360"/>
      <c r="ALJ170" s="1360"/>
      <c r="ALK170" s="1360"/>
      <c r="ALL170" s="1362"/>
      <c r="ALM170" s="955"/>
      <c r="ALN170" s="963"/>
      <c r="ALO170" s="2242"/>
      <c r="ALP170" s="1360"/>
      <c r="ALQ170" s="1360"/>
      <c r="ALR170" s="1360"/>
      <c r="ALS170" s="1360"/>
      <c r="ALT170" s="1362"/>
      <c r="ALU170" s="955"/>
      <c r="ALV170" s="963"/>
      <c r="ALW170" s="2242"/>
      <c r="ALX170" s="1360"/>
      <c r="ALY170" s="1360"/>
      <c r="ALZ170" s="1360"/>
      <c r="AMA170" s="1360"/>
      <c r="AMB170" s="1362"/>
      <c r="AMC170" s="955"/>
      <c r="AMD170" s="963"/>
      <c r="AME170" s="2242"/>
      <c r="AMF170" s="1360"/>
      <c r="AMG170" s="1360"/>
      <c r="AMH170" s="1360"/>
      <c r="AMI170" s="1360"/>
      <c r="AMJ170" s="1362"/>
      <c r="AMK170" s="955"/>
      <c r="AML170" s="963"/>
      <c r="AMM170" s="2242"/>
      <c r="AMN170" s="1360"/>
      <c r="AMO170" s="1360"/>
      <c r="AMP170" s="1360"/>
      <c r="AMQ170" s="1360"/>
      <c r="AMR170" s="1362"/>
      <c r="AMS170" s="955"/>
      <c r="AMT170" s="963"/>
      <c r="AMU170" s="2242"/>
      <c r="AMV170" s="1360"/>
      <c r="AMW170" s="1360"/>
      <c r="AMX170" s="1360"/>
      <c r="AMY170" s="1360"/>
      <c r="AMZ170" s="1362"/>
      <c r="ANA170" s="955"/>
      <c r="ANB170" s="963"/>
      <c r="ANC170" s="2242"/>
      <c r="AND170" s="1360"/>
      <c r="ANE170" s="1360"/>
      <c r="ANF170" s="1360"/>
      <c r="ANG170" s="1360"/>
      <c r="ANH170" s="1362"/>
      <c r="ANI170" s="955"/>
      <c r="ANJ170" s="963"/>
      <c r="ANK170" s="2242"/>
      <c r="ANL170" s="1360"/>
      <c r="ANM170" s="1360"/>
      <c r="ANN170" s="1360"/>
      <c r="ANO170" s="1360"/>
      <c r="ANP170" s="1362"/>
      <c r="ANQ170" s="955"/>
      <c r="ANR170" s="963"/>
      <c r="ANS170" s="2242"/>
      <c r="ANT170" s="1360"/>
      <c r="ANU170" s="1360"/>
      <c r="ANV170" s="1360"/>
      <c r="ANW170" s="1360"/>
      <c r="ANX170" s="1362"/>
      <c r="ANY170" s="955"/>
      <c r="ANZ170" s="963"/>
      <c r="AOA170" s="2242"/>
      <c r="AOB170" s="1360"/>
      <c r="AOC170" s="1360"/>
      <c r="AOD170" s="1360"/>
      <c r="AOE170" s="1360"/>
      <c r="AOF170" s="1362"/>
      <c r="AOG170" s="955"/>
      <c r="AOH170" s="963"/>
      <c r="AOI170" s="2242"/>
      <c r="AOJ170" s="1360"/>
      <c r="AOK170" s="1360"/>
      <c r="AOL170" s="1360"/>
      <c r="AOM170" s="1360"/>
      <c r="AON170" s="1362"/>
      <c r="AOO170" s="955"/>
      <c r="AOP170" s="963"/>
      <c r="AOQ170" s="2242"/>
      <c r="AOR170" s="1360"/>
      <c r="AOS170" s="1360"/>
      <c r="AOT170" s="1360"/>
      <c r="AOU170" s="1360"/>
      <c r="AOV170" s="1362"/>
      <c r="AOW170" s="955"/>
      <c r="AOX170" s="963"/>
      <c r="AOY170" s="2242"/>
      <c r="AOZ170" s="1360"/>
      <c r="APA170" s="1360"/>
      <c r="APB170" s="1360"/>
      <c r="APC170" s="1360"/>
      <c r="APD170" s="1362"/>
      <c r="APE170" s="955"/>
      <c r="APF170" s="963"/>
      <c r="APG170" s="2242"/>
      <c r="APH170" s="1360"/>
      <c r="API170" s="1360"/>
      <c r="APJ170" s="1360"/>
      <c r="APK170" s="1360"/>
      <c r="APL170" s="1362"/>
      <c r="APM170" s="955"/>
      <c r="APN170" s="963"/>
      <c r="APO170" s="2242"/>
      <c r="APP170" s="1360"/>
      <c r="APQ170" s="1360"/>
      <c r="APR170" s="1360"/>
      <c r="APS170" s="1360"/>
      <c r="APT170" s="1362"/>
      <c r="APU170" s="955"/>
      <c r="APV170" s="963"/>
      <c r="APW170" s="2242"/>
      <c r="APX170" s="1360"/>
      <c r="APY170" s="1360"/>
      <c r="APZ170" s="1360"/>
      <c r="AQA170" s="1360"/>
      <c r="AQB170" s="1362"/>
      <c r="AQC170" s="955"/>
      <c r="AQD170" s="963"/>
      <c r="AQE170" s="2242"/>
      <c r="AQF170" s="1360"/>
      <c r="AQG170" s="1360"/>
      <c r="AQH170" s="1360"/>
      <c r="AQI170" s="1360"/>
      <c r="AQJ170" s="1362"/>
      <c r="AQK170" s="955"/>
      <c r="AQL170" s="963"/>
      <c r="AQM170" s="2242"/>
      <c r="AQN170" s="1360"/>
      <c r="AQO170" s="1360"/>
      <c r="AQP170" s="1360"/>
      <c r="AQQ170" s="1360"/>
      <c r="AQR170" s="1362"/>
      <c r="AQS170" s="955"/>
      <c r="AQT170" s="963"/>
      <c r="AQU170" s="2242"/>
      <c r="AQV170" s="1360"/>
      <c r="AQW170" s="1360"/>
      <c r="AQX170" s="1360"/>
      <c r="AQY170" s="1360"/>
      <c r="AQZ170" s="1362"/>
      <c r="ARA170" s="955"/>
      <c r="ARB170" s="963"/>
      <c r="ARC170" s="2242"/>
      <c r="ARD170" s="1360"/>
      <c r="ARE170" s="1360"/>
      <c r="ARF170" s="1360"/>
      <c r="ARG170" s="1360"/>
      <c r="ARH170" s="1362"/>
      <c r="ARI170" s="955"/>
      <c r="ARJ170" s="963"/>
      <c r="ARK170" s="2242"/>
      <c r="ARL170" s="1360"/>
      <c r="ARM170" s="1360"/>
      <c r="ARN170" s="1360"/>
      <c r="ARO170" s="1360"/>
      <c r="ARP170" s="1362"/>
      <c r="ARQ170" s="955"/>
      <c r="ARR170" s="963"/>
      <c r="ARS170" s="2242"/>
      <c r="ART170" s="1360"/>
      <c r="ARU170" s="1360"/>
      <c r="ARV170" s="1360"/>
      <c r="ARW170" s="1360"/>
      <c r="ARX170" s="1362"/>
      <c r="ARY170" s="955"/>
      <c r="ARZ170" s="963"/>
      <c r="ASA170" s="2242"/>
      <c r="ASB170" s="1360"/>
      <c r="ASC170" s="1360"/>
      <c r="ASD170" s="1360"/>
      <c r="ASE170" s="1360"/>
      <c r="ASF170" s="1362"/>
      <c r="ASG170" s="955"/>
      <c r="ASH170" s="963"/>
      <c r="ASI170" s="2242"/>
      <c r="ASJ170" s="1360"/>
      <c r="ASK170" s="1360"/>
      <c r="ASL170" s="1360"/>
      <c r="ASM170" s="1360"/>
      <c r="ASN170" s="1362"/>
      <c r="ASO170" s="955"/>
      <c r="ASP170" s="963"/>
      <c r="ASQ170" s="2242"/>
      <c r="ASR170" s="1360"/>
      <c r="ASS170" s="1360"/>
      <c r="AST170" s="1360"/>
      <c r="ASU170" s="1360"/>
      <c r="ASV170" s="1362"/>
      <c r="ASW170" s="955"/>
      <c r="ASX170" s="963"/>
      <c r="ASY170" s="2242"/>
      <c r="ASZ170" s="1360"/>
      <c r="ATA170" s="1360"/>
      <c r="ATB170" s="1360"/>
      <c r="ATC170" s="1360"/>
      <c r="ATD170" s="1362"/>
      <c r="ATE170" s="955"/>
      <c r="ATF170" s="963"/>
      <c r="ATG170" s="2242"/>
      <c r="ATH170" s="1360"/>
      <c r="ATI170" s="1360"/>
      <c r="ATJ170" s="1360"/>
      <c r="ATK170" s="1360"/>
      <c r="ATL170" s="1362"/>
      <c r="ATM170" s="955"/>
      <c r="ATN170" s="963"/>
      <c r="ATO170" s="2242"/>
      <c r="ATP170" s="1360"/>
      <c r="ATQ170" s="1360"/>
      <c r="ATR170" s="1360"/>
      <c r="ATS170" s="1360"/>
      <c r="ATT170" s="1362"/>
      <c r="ATU170" s="955"/>
      <c r="ATV170" s="963"/>
      <c r="ATW170" s="2242"/>
      <c r="ATX170" s="1360"/>
      <c r="ATY170" s="1360"/>
      <c r="ATZ170" s="1360"/>
      <c r="AUA170" s="1360"/>
      <c r="AUB170" s="1362"/>
      <c r="AUC170" s="955"/>
      <c r="AUD170" s="963"/>
      <c r="AUE170" s="2242"/>
      <c r="AUF170" s="1360"/>
      <c r="AUG170" s="1360"/>
      <c r="AUH170" s="1360"/>
      <c r="AUI170" s="1360"/>
      <c r="AUJ170" s="1362"/>
      <c r="AUK170" s="955"/>
      <c r="AUL170" s="963"/>
      <c r="AUM170" s="2242"/>
      <c r="AUN170" s="1360"/>
      <c r="AUO170" s="1360"/>
      <c r="AUP170" s="1360"/>
      <c r="AUQ170" s="1360"/>
      <c r="AUR170" s="1362"/>
      <c r="AUS170" s="955"/>
      <c r="AUT170" s="963"/>
      <c r="AUU170" s="2242"/>
      <c r="AUV170" s="1360"/>
      <c r="AUW170" s="1360"/>
      <c r="AUX170" s="1360"/>
      <c r="AUY170" s="1360"/>
      <c r="AUZ170" s="1362"/>
      <c r="AVA170" s="955"/>
      <c r="AVB170" s="963"/>
      <c r="AVC170" s="2242"/>
      <c r="AVD170" s="1360"/>
      <c r="AVE170" s="1360"/>
      <c r="AVF170" s="1360"/>
      <c r="AVG170" s="1360"/>
      <c r="AVH170" s="1362"/>
      <c r="AVI170" s="955"/>
      <c r="AVJ170" s="963"/>
      <c r="AVK170" s="2242"/>
      <c r="AVL170" s="1360"/>
      <c r="AVM170" s="1360"/>
      <c r="AVN170" s="1360"/>
      <c r="AVO170" s="1360"/>
      <c r="AVP170" s="1362"/>
      <c r="AVQ170" s="955"/>
      <c r="AVR170" s="963"/>
      <c r="AVS170" s="2242"/>
      <c r="AVT170" s="1360"/>
      <c r="AVU170" s="1360"/>
      <c r="AVV170" s="1360"/>
      <c r="AVW170" s="1360"/>
      <c r="AVX170" s="1362"/>
      <c r="AVY170" s="955"/>
      <c r="AVZ170" s="963"/>
      <c r="AWA170" s="2242"/>
      <c r="AWB170" s="1360"/>
      <c r="AWC170" s="1360"/>
      <c r="AWD170" s="1360"/>
      <c r="AWE170" s="1360"/>
      <c r="AWF170" s="1362"/>
      <c r="AWG170" s="955"/>
      <c r="AWH170" s="963"/>
      <c r="AWI170" s="2242"/>
      <c r="AWJ170" s="1360"/>
      <c r="AWK170" s="1360"/>
      <c r="AWL170" s="1360"/>
      <c r="AWM170" s="1360"/>
      <c r="AWN170" s="1362"/>
      <c r="AWO170" s="955"/>
      <c r="AWP170" s="963"/>
      <c r="AWQ170" s="2242"/>
      <c r="AWR170" s="1360"/>
      <c r="AWS170" s="1360"/>
      <c r="AWT170" s="1360"/>
      <c r="AWU170" s="1360"/>
      <c r="AWV170" s="1362"/>
      <c r="AWW170" s="955"/>
      <c r="AWX170" s="963"/>
      <c r="AWY170" s="2242"/>
      <c r="AWZ170" s="1360"/>
      <c r="AXA170" s="1360"/>
      <c r="AXB170" s="1360"/>
      <c r="AXC170" s="1360"/>
      <c r="AXD170" s="1362"/>
      <c r="AXE170" s="955"/>
      <c r="AXF170" s="963"/>
      <c r="AXG170" s="2242"/>
      <c r="AXH170" s="1360"/>
      <c r="AXI170" s="1360"/>
      <c r="AXJ170" s="1360"/>
      <c r="AXK170" s="1360"/>
      <c r="AXL170" s="1362"/>
      <c r="AXM170" s="955"/>
      <c r="AXN170" s="963"/>
      <c r="AXO170" s="2242"/>
      <c r="AXP170" s="1360"/>
      <c r="AXQ170" s="1360"/>
      <c r="AXR170" s="1360"/>
      <c r="AXS170" s="1360"/>
      <c r="AXT170" s="1362"/>
      <c r="AXU170" s="955"/>
      <c r="AXV170" s="963"/>
      <c r="AXW170" s="2242"/>
      <c r="AXX170" s="1360"/>
      <c r="AXY170" s="1360"/>
      <c r="AXZ170" s="1360"/>
      <c r="AYA170" s="1360"/>
      <c r="AYB170" s="1362"/>
      <c r="AYC170" s="955"/>
      <c r="AYD170" s="963"/>
      <c r="AYE170" s="2242"/>
      <c r="AYF170" s="1360"/>
      <c r="AYG170" s="1360"/>
      <c r="AYH170" s="1360"/>
      <c r="AYI170" s="1360"/>
      <c r="AYJ170" s="1362"/>
      <c r="AYK170" s="955"/>
      <c r="AYL170" s="963"/>
      <c r="AYM170" s="2242"/>
      <c r="AYN170" s="1360"/>
      <c r="AYO170" s="1360"/>
      <c r="AYP170" s="1360"/>
      <c r="AYQ170" s="1360"/>
      <c r="AYR170" s="1362"/>
      <c r="AYS170" s="955"/>
      <c r="AYT170" s="963"/>
      <c r="AYU170" s="2242"/>
      <c r="AYV170" s="1360"/>
      <c r="AYW170" s="1360"/>
      <c r="AYX170" s="1360"/>
      <c r="AYY170" s="1360"/>
      <c r="AYZ170" s="1362"/>
      <c r="AZA170" s="955"/>
      <c r="AZB170" s="963"/>
      <c r="AZC170" s="2242"/>
      <c r="AZD170" s="1360"/>
      <c r="AZE170" s="1360"/>
      <c r="AZF170" s="1360"/>
      <c r="AZG170" s="1360"/>
      <c r="AZH170" s="1362"/>
      <c r="AZI170" s="955"/>
      <c r="AZJ170" s="963"/>
      <c r="AZK170" s="2242"/>
      <c r="AZL170" s="1360"/>
      <c r="AZM170" s="1360"/>
      <c r="AZN170" s="1360"/>
      <c r="AZO170" s="1360"/>
      <c r="AZP170" s="1362"/>
      <c r="AZQ170" s="955"/>
      <c r="AZR170" s="963"/>
      <c r="AZS170" s="2242"/>
      <c r="AZT170" s="1360"/>
      <c r="AZU170" s="1360"/>
      <c r="AZV170" s="1360"/>
      <c r="AZW170" s="1360"/>
      <c r="AZX170" s="1362"/>
      <c r="AZY170" s="955"/>
      <c r="AZZ170" s="963"/>
      <c r="BAA170" s="2242"/>
      <c r="BAB170" s="1360"/>
      <c r="BAC170" s="1360"/>
      <c r="BAD170" s="1360"/>
      <c r="BAE170" s="1360"/>
      <c r="BAF170" s="1362"/>
      <c r="BAG170" s="955"/>
      <c r="BAH170" s="963"/>
      <c r="BAI170" s="2242"/>
      <c r="BAJ170" s="1360"/>
      <c r="BAK170" s="1360"/>
      <c r="BAL170" s="1360"/>
      <c r="BAM170" s="1360"/>
      <c r="BAN170" s="1362"/>
      <c r="BAO170" s="955"/>
      <c r="BAP170" s="963"/>
      <c r="BAQ170" s="2242"/>
      <c r="BAR170" s="1360"/>
      <c r="BAS170" s="1360"/>
      <c r="BAT170" s="1360"/>
      <c r="BAU170" s="1360"/>
      <c r="BAV170" s="1362"/>
      <c r="BAW170" s="955"/>
      <c r="BAX170" s="963"/>
      <c r="BAY170" s="2242"/>
      <c r="BAZ170" s="1360"/>
      <c r="BBA170" s="1360"/>
      <c r="BBB170" s="1360"/>
      <c r="BBC170" s="1360"/>
      <c r="BBD170" s="1362"/>
      <c r="BBE170" s="955"/>
      <c r="BBF170" s="963"/>
      <c r="BBG170" s="2242"/>
      <c r="BBH170" s="1360"/>
      <c r="BBI170" s="1360"/>
      <c r="BBJ170" s="1360"/>
      <c r="BBK170" s="1360"/>
      <c r="BBL170" s="1362"/>
      <c r="BBM170" s="955"/>
      <c r="BBN170" s="963"/>
      <c r="BBO170" s="2242"/>
      <c r="BBP170" s="1360"/>
      <c r="BBQ170" s="1360"/>
      <c r="BBR170" s="1360"/>
      <c r="BBS170" s="1360"/>
      <c r="BBT170" s="1362"/>
      <c r="BBU170" s="955"/>
      <c r="BBV170" s="963"/>
      <c r="BBW170" s="2242"/>
      <c r="BBX170" s="1360"/>
      <c r="BBY170" s="1360"/>
      <c r="BBZ170" s="1360"/>
      <c r="BCA170" s="1360"/>
      <c r="BCB170" s="1362"/>
      <c r="BCC170" s="955"/>
      <c r="BCD170" s="963"/>
      <c r="BCE170" s="2242"/>
      <c r="BCF170" s="1360"/>
      <c r="BCG170" s="1360"/>
      <c r="BCH170" s="1360"/>
      <c r="BCI170" s="1360"/>
      <c r="BCJ170" s="1362"/>
      <c r="BCK170" s="955"/>
      <c r="BCL170" s="963"/>
      <c r="BCM170" s="2242"/>
      <c r="BCN170" s="1360"/>
      <c r="BCO170" s="1360"/>
      <c r="BCP170" s="1360"/>
      <c r="BCQ170" s="1360"/>
      <c r="BCR170" s="1362"/>
      <c r="BCS170" s="955"/>
      <c r="BCT170" s="963"/>
      <c r="BCU170" s="2242"/>
      <c r="BCV170" s="1360"/>
      <c r="BCW170" s="1360"/>
      <c r="BCX170" s="1360"/>
      <c r="BCY170" s="1360"/>
      <c r="BCZ170" s="1362"/>
      <c r="BDA170" s="955"/>
      <c r="BDB170" s="963"/>
      <c r="BDC170" s="2242"/>
      <c r="BDD170" s="1360"/>
      <c r="BDE170" s="1360"/>
      <c r="BDF170" s="1360"/>
      <c r="BDG170" s="1360"/>
      <c r="BDH170" s="1362"/>
      <c r="BDI170" s="955"/>
      <c r="BDJ170" s="963"/>
      <c r="BDK170" s="2242"/>
      <c r="BDL170" s="1360"/>
      <c r="BDM170" s="1360"/>
      <c r="BDN170" s="1360"/>
      <c r="BDO170" s="1360"/>
      <c r="BDP170" s="1362"/>
      <c r="BDQ170" s="955"/>
      <c r="BDR170" s="963"/>
      <c r="BDS170" s="2242"/>
      <c r="BDT170" s="1360"/>
      <c r="BDU170" s="1360"/>
      <c r="BDV170" s="1360"/>
      <c r="BDW170" s="1360"/>
      <c r="BDX170" s="1362"/>
      <c r="BDY170" s="955"/>
      <c r="BDZ170" s="963"/>
      <c r="BEA170" s="2242"/>
      <c r="BEB170" s="1360"/>
      <c r="BEC170" s="1360"/>
      <c r="BED170" s="1360"/>
      <c r="BEE170" s="1360"/>
      <c r="BEF170" s="1362"/>
      <c r="BEG170" s="955"/>
      <c r="BEH170" s="963"/>
      <c r="BEI170" s="2242"/>
      <c r="BEJ170" s="1360"/>
      <c r="BEK170" s="1360"/>
      <c r="BEL170" s="1360"/>
      <c r="BEM170" s="1360"/>
      <c r="BEN170" s="1362"/>
      <c r="BEO170" s="955"/>
      <c r="BEP170" s="963"/>
      <c r="BEQ170" s="2242"/>
      <c r="BER170" s="1360"/>
      <c r="BES170" s="1360"/>
      <c r="BET170" s="1360"/>
      <c r="BEU170" s="1360"/>
      <c r="BEV170" s="1362"/>
      <c r="BEW170" s="955"/>
      <c r="BEX170" s="963"/>
      <c r="BEY170" s="2242"/>
      <c r="BEZ170" s="1360"/>
      <c r="BFA170" s="1360"/>
      <c r="BFB170" s="1360"/>
      <c r="BFC170" s="1360"/>
      <c r="BFD170" s="1362"/>
      <c r="BFE170" s="955"/>
      <c r="BFF170" s="963"/>
      <c r="BFG170" s="2242"/>
      <c r="BFH170" s="1360"/>
      <c r="BFI170" s="1360"/>
      <c r="BFJ170" s="1360"/>
      <c r="BFK170" s="1360"/>
      <c r="BFL170" s="1362"/>
      <c r="BFM170" s="955"/>
      <c r="BFN170" s="963"/>
      <c r="BFO170" s="2242"/>
      <c r="BFP170" s="1360"/>
      <c r="BFQ170" s="1360"/>
      <c r="BFR170" s="1360"/>
      <c r="BFS170" s="1360"/>
      <c r="BFT170" s="1362"/>
      <c r="BFU170" s="955"/>
      <c r="BFV170" s="963"/>
      <c r="BFW170" s="2242"/>
      <c r="BFX170" s="1360"/>
      <c r="BFY170" s="1360"/>
      <c r="BFZ170" s="1360"/>
      <c r="BGA170" s="1360"/>
      <c r="BGB170" s="1362"/>
      <c r="BGC170" s="955"/>
      <c r="BGD170" s="963"/>
      <c r="BGE170" s="2242"/>
      <c r="BGF170" s="1360"/>
      <c r="BGG170" s="1360"/>
      <c r="BGH170" s="1360"/>
      <c r="BGI170" s="1360"/>
      <c r="BGJ170" s="1362"/>
      <c r="BGK170" s="955"/>
      <c r="BGL170" s="963"/>
      <c r="BGM170" s="2242"/>
      <c r="BGN170" s="1360"/>
      <c r="BGO170" s="1360"/>
      <c r="BGP170" s="1360"/>
      <c r="BGQ170" s="1360"/>
      <c r="BGR170" s="1362"/>
      <c r="BGS170" s="955"/>
      <c r="BGT170" s="963"/>
      <c r="BGU170" s="2242"/>
      <c r="BGV170" s="1360"/>
      <c r="BGW170" s="1360"/>
      <c r="BGX170" s="1360"/>
      <c r="BGY170" s="1360"/>
      <c r="BGZ170" s="1362"/>
      <c r="BHA170" s="955"/>
      <c r="BHB170" s="963"/>
      <c r="BHC170" s="2242"/>
      <c r="BHD170" s="1360"/>
      <c r="BHE170" s="1360"/>
      <c r="BHF170" s="1360"/>
      <c r="BHG170" s="1360"/>
      <c r="BHH170" s="1362"/>
      <c r="BHI170" s="955"/>
      <c r="BHJ170" s="963"/>
      <c r="BHK170" s="2242"/>
      <c r="BHL170" s="1360"/>
      <c r="BHM170" s="1360"/>
      <c r="BHN170" s="1360"/>
      <c r="BHO170" s="1360"/>
      <c r="BHP170" s="1362"/>
      <c r="BHQ170" s="955"/>
      <c r="BHR170" s="963"/>
      <c r="BHS170" s="2242"/>
      <c r="BHT170" s="1360"/>
      <c r="BHU170" s="1360"/>
      <c r="BHV170" s="1360"/>
      <c r="BHW170" s="1360"/>
      <c r="BHX170" s="1362"/>
      <c r="BHY170" s="955"/>
      <c r="BHZ170" s="963"/>
      <c r="BIA170" s="2242"/>
      <c r="BIB170" s="1360"/>
      <c r="BIC170" s="1360"/>
      <c r="BID170" s="1360"/>
      <c r="BIE170" s="1360"/>
      <c r="BIF170" s="1362"/>
      <c r="BIG170" s="955"/>
      <c r="BIH170" s="963"/>
      <c r="BII170" s="2242"/>
      <c r="BIJ170" s="1360"/>
      <c r="BIK170" s="1360"/>
      <c r="BIL170" s="1360"/>
      <c r="BIM170" s="1360"/>
      <c r="BIN170" s="1362"/>
      <c r="BIO170" s="955"/>
      <c r="BIP170" s="963"/>
      <c r="BIQ170" s="2242"/>
      <c r="BIR170" s="1360"/>
      <c r="BIS170" s="1360"/>
      <c r="BIT170" s="1360"/>
      <c r="BIU170" s="1360"/>
      <c r="BIV170" s="1362"/>
      <c r="BIW170" s="955"/>
      <c r="BIX170" s="963"/>
      <c r="BIY170" s="2242"/>
      <c r="BIZ170" s="1360"/>
      <c r="BJA170" s="1360"/>
      <c r="BJB170" s="1360"/>
      <c r="BJC170" s="1360"/>
      <c r="BJD170" s="1362"/>
      <c r="BJE170" s="955"/>
      <c r="BJF170" s="963"/>
      <c r="BJG170" s="2242"/>
      <c r="BJH170" s="1360"/>
      <c r="BJI170" s="1360"/>
      <c r="BJJ170" s="1360"/>
      <c r="BJK170" s="1360"/>
      <c r="BJL170" s="1362"/>
      <c r="BJM170" s="955"/>
      <c r="BJN170" s="963"/>
      <c r="BJO170" s="2242"/>
      <c r="BJP170" s="1360"/>
      <c r="BJQ170" s="1360"/>
      <c r="BJR170" s="1360"/>
      <c r="BJS170" s="1360"/>
      <c r="BJT170" s="1362"/>
      <c r="BJU170" s="955"/>
      <c r="BJV170" s="963"/>
      <c r="BJW170" s="2242"/>
      <c r="BJX170" s="1360"/>
      <c r="BJY170" s="1360"/>
      <c r="BJZ170" s="1360"/>
      <c r="BKA170" s="1360"/>
      <c r="BKB170" s="1362"/>
      <c r="BKC170" s="955"/>
      <c r="BKD170" s="963"/>
      <c r="BKE170" s="2242"/>
      <c r="BKF170" s="1360"/>
      <c r="BKG170" s="1360"/>
      <c r="BKH170" s="1360"/>
      <c r="BKI170" s="1360"/>
      <c r="BKJ170" s="1362"/>
      <c r="BKK170" s="955"/>
      <c r="BKL170" s="963"/>
      <c r="BKM170" s="2242"/>
      <c r="BKN170" s="1360"/>
      <c r="BKO170" s="1360"/>
      <c r="BKP170" s="1360"/>
      <c r="BKQ170" s="1360"/>
      <c r="BKR170" s="1362"/>
      <c r="BKS170" s="955"/>
      <c r="BKT170" s="963"/>
      <c r="BKU170" s="2242"/>
      <c r="BKV170" s="1360"/>
      <c r="BKW170" s="1360"/>
      <c r="BKX170" s="1360"/>
      <c r="BKY170" s="1360"/>
      <c r="BKZ170" s="1362"/>
      <c r="BLA170" s="955"/>
      <c r="BLB170" s="963"/>
      <c r="BLC170" s="2242"/>
      <c r="BLD170" s="1360"/>
      <c r="BLE170" s="1360"/>
      <c r="BLF170" s="1360"/>
      <c r="BLG170" s="1360"/>
      <c r="BLH170" s="1362"/>
      <c r="BLI170" s="955"/>
      <c r="BLJ170" s="963"/>
      <c r="BLK170" s="2242"/>
      <c r="BLL170" s="1360"/>
      <c r="BLM170" s="1360"/>
      <c r="BLN170" s="1360"/>
      <c r="BLO170" s="1360"/>
      <c r="BLP170" s="1362"/>
      <c r="BLQ170" s="955"/>
      <c r="BLR170" s="963"/>
      <c r="BLS170" s="2242"/>
      <c r="BLT170" s="1360"/>
      <c r="BLU170" s="1360"/>
      <c r="BLV170" s="1360"/>
      <c r="BLW170" s="1360"/>
      <c r="BLX170" s="1362"/>
      <c r="BLY170" s="955"/>
      <c r="BLZ170" s="963"/>
      <c r="BMA170" s="2242"/>
      <c r="BMB170" s="1360"/>
      <c r="BMC170" s="1360"/>
      <c r="BMD170" s="1360"/>
      <c r="BME170" s="1360"/>
      <c r="BMF170" s="1362"/>
      <c r="BMG170" s="955"/>
      <c r="BMH170" s="963"/>
      <c r="BMI170" s="2242"/>
      <c r="BMJ170" s="1360"/>
      <c r="BMK170" s="1360"/>
      <c r="BML170" s="1360"/>
      <c r="BMM170" s="1360"/>
      <c r="BMN170" s="1362"/>
      <c r="BMO170" s="955"/>
      <c r="BMP170" s="963"/>
      <c r="BMQ170" s="2242"/>
      <c r="BMR170" s="1360"/>
      <c r="BMS170" s="1360"/>
      <c r="BMT170" s="1360"/>
      <c r="BMU170" s="1360"/>
      <c r="BMV170" s="1362"/>
      <c r="BMW170" s="955"/>
      <c r="BMX170" s="963"/>
      <c r="BMY170" s="2242"/>
      <c r="BMZ170" s="1360"/>
      <c r="BNA170" s="1360"/>
      <c r="BNB170" s="1360"/>
      <c r="BNC170" s="1360"/>
      <c r="BND170" s="1362"/>
      <c r="BNE170" s="955"/>
      <c r="BNF170" s="963"/>
      <c r="BNG170" s="2242"/>
      <c r="BNH170" s="1360"/>
      <c r="BNI170" s="1360"/>
      <c r="BNJ170" s="1360"/>
      <c r="BNK170" s="1360"/>
      <c r="BNL170" s="1362"/>
      <c r="BNM170" s="955"/>
      <c r="BNN170" s="963"/>
      <c r="BNO170" s="2242"/>
      <c r="BNP170" s="1360"/>
      <c r="BNQ170" s="1360"/>
      <c r="BNR170" s="1360"/>
      <c r="BNS170" s="1360"/>
      <c r="BNT170" s="1362"/>
      <c r="BNU170" s="955"/>
      <c r="BNV170" s="963"/>
      <c r="BNW170" s="2242"/>
      <c r="BNX170" s="1360"/>
      <c r="BNY170" s="1360"/>
      <c r="BNZ170" s="1360"/>
      <c r="BOA170" s="1360"/>
      <c r="BOB170" s="1362"/>
      <c r="BOC170" s="955"/>
      <c r="BOD170" s="963"/>
      <c r="BOE170" s="2242"/>
      <c r="BOF170" s="1360"/>
      <c r="BOG170" s="1360"/>
      <c r="BOH170" s="1360"/>
      <c r="BOI170" s="1360"/>
      <c r="BOJ170" s="1362"/>
      <c r="BOK170" s="955"/>
      <c r="BOL170" s="963"/>
      <c r="BOM170" s="2242"/>
      <c r="BON170" s="1360"/>
      <c r="BOO170" s="1360"/>
      <c r="BOP170" s="1360"/>
      <c r="BOQ170" s="1360"/>
      <c r="BOR170" s="1362"/>
      <c r="BOS170" s="955"/>
      <c r="BOT170" s="963"/>
      <c r="BOU170" s="2242"/>
      <c r="BOV170" s="1360"/>
      <c r="BOW170" s="1360"/>
      <c r="BOX170" s="1360"/>
      <c r="BOY170" s="1360"/>
      <c r="BOZ170" s="1362"/>
      <c r="BPA170" s="955"/>
      <c r="BPB170" s="963"/>
      <c r="BPC170" s="2242"/>
      <c r="BPD170" s="1360"/>
      <c r="BPE170" s="1360"/>
      <c r="BPF170" s="1360"/>
      <c r="BPG170" s="1360"/>
      <c r="BPH170" s="1362"/>
      <c r="BPI170" s="955"/>
      <c r="BPJ170" s="963"/>
      <c r="BPK170" s="2242"/>
      <c r="BPL170" s="1360"/>
      <c r="BPM170" s="1360"/>
      <c r="BPN170" s="1360"/>
      <c r="BPO170" s="1360"/>
      <c r="BPP170" s="1362"/>
      <c r="BPQ170" s="955"/>
      <c r="BPR170" s="963"/>
      <c r="BPS170" s="2242"/>
      <c r="BPT170" s="1360"/>
      <c r="BPU170" s="1360"/>
      <c r="BPV170" s="1360"/>
      <c r="BPW170" s="1360"/>
      <c r="BPX170" s="1362"/>
      <c r="BPY170" s="955"/>
      <c r="BPZ170" s="963"/>
      <c r="BQA170" s="2242"/>
      <c r="BQB170" s="1360"/>
      <c r="BQC170" s="1360"/>
      <c r="BQD170" s="1360"/>
      <c r="BQE170" s="1360"/>
      <c r="BQF170" s="1362"/>
      <c r="BQG170" s="955"/>
      <c r="BQH170" s="963"/>
      <c r="BQI170" s="2242"/>
      <c r="BQJ170" s="1360"/>
      <c r="BQK170" s="1360"/>
      <c r="BQL170" s="1360"/>
      <c r="BQM170" s="1360"/>
      <c r="BQN170" s="1362"/>
      <c r="BQO170" s="955"/>
      <c r="BQP170" s="963"/>
      <c r="BQQ170" s="2242"/>
      <c r="BQR170" s="1360"/>
      <c r="BQS170" s="1360"/>
      <c r="BQT170" s="1360"/>
      <c r="BQU170" s="1360"/>
      <c r="BQV170" s="1362"/>
      <c r="BQW170" s="955"/>
      <c r="BQX170" s="963"/>
      <c r="BQY170" s="2242"/>
      <c r="BQZ170" s="1360"/>
      <c r="BRA170" s="1360"/>
      <c r="BRB170" s="1360"/>
      <c r="BRC170" s="1360"/>
      <c r="BRD170" s="1362"/>
      <c r="BRE170" s="955"/>
      <c r="BRF170" s="963"/>
      <c r="BRG170" s="2242"/>
      <c r="BRH170" s="1360"/>
      <c r="BRI170" s="1360"/>
      <c r="BRJ170" s="1360"/>
      <c r="BRK170" s="1360"/>
      <c r="BRL170" s="1362"/>
      <c r="BRM170" s="955"/>
      <c r="BRN170" s="963"/>
      <c r="BRO170" s="2242"/>
      <c r="BRP170" s="1360"/>
      <c r="BRQ170" s="1360"/>
      <c r="BRR170" s="1360"/>
      <c r="BRS170" s="1360"/>
      <c r="BRT170" s="1362"/>
      <c r="BRU170" s="955"/>
      <c r="BRV170" s="963"/>
      <c r="BRW170" s="2242"/>
      <c r="BRX170" s="1360"/>
      <c r="BRY170" s="1360"/>
      <c r="BRZ170" s="1360"/>
      <c r="BSA170" s="1360"/>
      <c r="BSB170" s="1362"/>
      <c r="BSC170" s="955"/>
      <c r="BSD170" s="963"/>
      <c r="BSE170" s="2242"/>
      <c r="BSF170" s="1360"/>
      <c r="BSG170" s="1360"/>
      <c r="BSH170" s="1360"/>
      <c r="BSI170" s="1360"/>
      <c r="BSJ170" s="1362"/>
      <c r="BSK170" s="955"/>
      <c r="BSL170" s="963"/>
      <c r="BSM170" s="2242"/>
      <c r="BSN170" s="1360"/>
      <c r="BSO170" s="1360"/>
      <c r="BSP170" s="1360"/>
      <c r="BSQ170" s="1360"/>
      <c r="BSR170" s="1362"/>
      <c r="BSS170" s="955"/>
      <c r="BST170" s="963"/>
      <c r="BSU170" s="2242"/>
      <c r="BSV170" s="1360"/>
      <c r="BSW170" s="1360"/>
      <c r="BSX170" s="1360"/>
      <c r="BSY170" s="1360"/>
      <c r="BSZ170" s="1362"/>
      <c r="BTA170" s="955"/>
      <c r="BTB170" s="963"/>
      <c r="BTC170" s="2242"/>
      <c r="BTD170" s="1360"/>
      <c r="BTE170" s="1360"/>
      <c r="BTF170" s="1360"/>
      <c r="BTG170" s="1360"/>
      <c r="BTH170" s="1362"/>
      <c r="BTI170" s="955"/>
      <c r="BTJ170" s="963"/>
      <c r="BTK170" s="2242"/>
      <c r="BTL170" s="1360"/>
      <c r="BTM170" s="1360"/>
      <c r="BTN170" s="1360"/>
      <c r="BTO170" s="1360"/>
      <c r="BTP170" s="1362"/>
      <c r="BTQ170" s="955"/>
      <c r="BTR170" s="963"/>
      <c r="BTS170" s="2242"/>
      <c r="BTT170" s="1360"/>
      <c r="BTU170" s="1360"/>
      <c r="BTV170" s="1360"/>
      <c r="BTW170" s="1360"/>
      <c r="BTX170" s="1362"/>
      <c r="BTY170" s="955"/>
      <c r="BTZ170" s="963"/>
      <c r="BUA170" s="2242"/>
      <c r="BUB170" s="1360"/>
      <c r="BUC170" s="1360"/>
      <c r="BUD170" s="1360"/>
      <c r="BUE170" s="1360"/>
      <c r="BUF170" s="1362"/>
      <c r="BUG170" s="955"/>
      <c r="BUH170" s="963"/>
      <c r="BUI170" s="2242"/>
      <c r="BUJ170" s="1360"/>
      <c r="BUK170" s="1360"/>
      <c r="BUL170" s="1360"/>
      <c r="BUM170" s="1360"/>
      <c r="BUN170" s="1362"/>
      <c r="BUO170" s="955"/>
      <c r="BUP170" s="963"/>
      <c r="BUQ170" s="2242"/>
      <c r="BUR170" s="1360"/>
      <c r="BUS170" s="1360"/>
      <c r="BUT170" s="1360"/>
      <c r="BUU170" s="1360"/>
      <c r="BUV170" s="1362"/>
      <c r="BUW170" s="955"/>
      <c r="BUX170" s="963"/>
      <c r="BUY170" s="2242"/>
      <c r="BUZ170" s="1360"/>
      <c r="BVA170" s="1360"/>
      <c r="BVB170" s="1360"/>
      <c r="BVC170" s="1360"/>
      <c r="BVD170" s="1362"/>
      <c r="BVE170" s="955"/>
      <c r="BVF170" s="963"/>
      <c r="BVG170" s="2242"/>
      <c r="BVH170" s="1360"/>
      <c r="BVI170" s="1360"/>
      <c r="BVJ170" s="1360"/>
      <c r="BVK170" s="1360"/>
      <c r="BVL170" s="1362"/>
      <c r="BVM170" s="955"/>
      <c r="BVN170" s="963"/>
      <c r="BVO170" s="2242"/>
      <c r="BVP170" s="1360"/>
      <c r="BVQ170" s="1360"/>
      <c r="BVR170" s="1360"/>
      <c r="BVS170" s="1360"/>
      <c r="BVT170" s="1362"/>
      <c r="BVU170" s="955"/>
      <c r="BVV170" s="963"/>
      <c r="BVW170" s="2242"/>
      <c r="BVX170" s="1360"/>
      <c r="BVY170" s="1360"/>
      <c r="BVZ170" s="1360"/>
      <c r="BWA170" s="1360"/>
      <c r="BWB170" s="1362"/>
      <c r="BWC170" s="955"/>
      <c r="BWD170" s="963"/>
      <c r="BWE170" s="2242"/>
      <c r="BWF170" s="1360"/>
      <c r="BWG170" s="1360"/>
      <c r="BWH170" s="1360"/>
      <c r="BWI170" s="1360"/>
      <c r="BWJ170" s="1362"/>
      <c r="BWK170" s="955"/>
      <c r="BWL170" s="963"/>
      <c r="BWM170" s="2242"/>
      <c r="BWN170" s="1360"/>
      <c r="BWO170" s="1360"/>
      <c r="BWP170" s="1360"/>
      <c r="BWQ170" s="1360"/>
      <c r="BWR170" s="1362"/>
      <c r="BWS170" s="955"/>
      <c r="BWT170" s="963"/>
      <c r="BWU170" s="2242"/>
      <c r="BWV170" s="1360"/>
      <c r="BWW170" s="1360"/>
      <c r="BWX170" s="1360"/>
      <c r="BWY170" s="1360"/>
      <c r="BWZ170" s="1362"/>
      <c r="BXA170" s="955"/>
      <c r="BXB170" s="963"/>
      <c r="BXC170" s="2242"/>
      <c r="BXD170" s="1360"/>
      <c r="BXE170" s="1360"/>
      <c r="BXF170" s="1360"/>
      <c r="BXG170" s="1360"/>
      <c r="BXH170" s="1362"/>
      <c r="BXI170" s="955"/>
      <c r="BXJ170" s="963"/>
      <c r="BXK170" s="2242"/>
      <c r="BXL170" s="1360"/>
      <c r="BXM170" s="1360"/>
      <c r="BXN170" s="1360"/>
      <c r="BXO170" s="1360"/>
      <c r="BXP170" s="1362"/>
      <c r="BXQ170" s="955"/>
      <c r="BXR170" s="963"/>
      <c r="BXS170" s="2242"/>
      <c r="BXT170" s="1360"/>
      <c r="BXU170" s="1360"/>
      <c r="BXV170" s="1360"/>
      <c r="BXW170" s="1360"/>
      <c r="BXX170" s="1362"/>
      <c r="BXY170" s="955"/>
      <c r="BXZ170" s="963"/>
      <c r="BYA170" s="2242"/>
      <c r="BYB170" s="1360"/>
      <c r="BYC170" s="1360"/>
      <c r="BYD170" s="1360"/>
      <c r="BYE170" s="1360"/>
      <c r="BYF170" s="1362"/>
      <c r="BYG170" s="955"/>
      <c r="BYH170" s="963"/>
      <c r="BYI170" s="2242"/>
      <c r="BYJ170" s="1360"/>
      <c r="BYK170" s="1360"/>
      <c r="BYL170" s="1360"/>
      <c r="BYM170" s="1360"/>
      <c r="BYN170" s="1362"/>
      <c r="BYO170" s="955"/>
      <c r="BYP170" s="963"/>
      <c r="BYQ170" s="2242"/>
      <c r="BYR170" s="1360"/>
      <c r="BYS170" s="1360"/>
      <c r="BYT170" s="1360"/>
      <c r="BYU170" s="1360"/>
      <c r="BYV170" s="1362"/>
      <c r="BYW170" s="955"/>
      <c r="BYX170" s="963"/>
      <c r="BYY170" s="2242"/>
      <c r="BYZ170" s="1360"/>
      <c r="BZA170" s="1360"/>
      <c r="BZB170" s="1360"/>
      <c r="BZC170" s="1360"/>
      <c r="BZD170" s="1362"/>
      <c r="BZE170" s="955"/>
      <c r="BZF170" s="963"/>
      <c r="BZG170" s="2242"/>
      <c r="BZH170" s="1360"/>
      <c r="BZI170" s="1360"/>
      <c r="BZJ170" s="1360"/>
      <c r="BZK170" s="1360"/>
      <c r="BZL170" s="1362"/>
      <c r="BZM170" s="955"/>
      <c r="BZN170" s="963"/>
      <c r="BZO170" s="2242"/>
      <c r="BZP170" s="1360"/>
      <c r="BZQ170" s="1360"/>
      <c r="BZR170" s="1360"/>
      <c r="BZS170" s="1360"/>
      <c r="BZT170" s="1362"/>
      <c r="BZU170" s="955"/>
      <c r="BZV170" s="963"/>
      <c r="BZW170" s="2242"/>
      <c r="BZX170" s="1360"/>
      <c r="BZY170" s="1360"/>
      <c r="BZZ170" s="1360"/>
      <c r="CAA170" s="1360"/>
      <c r="CAB170" s="1362"/>
      <c r="CAC170" s="955"/>
      <c r="CAD170" s="963"/>
      <c r="CAE170" s="2242"/>
      <c r="CAF170" s="1360"/>
      <c r="CAG170" s="1360"/>
      <c r="CAH170" s="1360"/>
      <c r="CAI170" s="1360"/>
      <c r="CAJ170" s="1362"/>
      <c r="CAK170" s="955"/>
      <c r="CAL170" s="963"/>
      <c r="CAM170" s="2242"/>
      <c r="CAN170" s="1360"/>
      <c r="CAO170" s="1360"/>
      <c r="CAP170" s="1360"/>
      <c r="CAQ170" s="1360"/>
      <c r="CAR170" s="1362"/>
      <c r="CAS170" s="955"/>
      <c r="CAT170" s="963"/>
      <c r="CAU170" s="2242"/>
      <c r="CAV170" s="1360"/>
      <c r="CAW170" s="1360"/>
      <c r="CAX170" s="1360"/>
      <c r="CAY170" s="1360"/>
      <c r="CAZ170" s="1362"/>
      <c r="CBA170" s="955"/>
      <c r="CBB170" s="963"/>
      <c r="CBC170" s="2242"/>
      <c r="CBD170" s="1360"/>
      <c r="CBE170" s="1360"/>
      <c r="CBF170" s="1360"/>
      <c r="CBG170" s="1360"/>
      <c r="CBH170" s="1362"/>
      <c r="CBI170" s="955"/>
      <c r="CBJ170" s="963"/>
      <c r="CBK170" s="2242"/>
      <c r="CBL170" s="1360"/>
      <c r="CBM170" s="1360"/>
      <c r="CBN170" s="1360"/>
      <c r="CBO170" s="1360"/>
      <c r="CBP170" s="1362"/>
      <c r="CBQ170" s="955"/>
      <c r="CBR170" s="963"/>
      <c r="CBS170" s="2242"/>
      <c r="CBT170" s="1360"/>
      <c r="CBU170" s="1360"/>
      <c r="CBV170" s="1360"/>
      <c r="CBW170" s="1360"/>
      <c r="CBX170" s="1362"/>
      <c r="CBY170" s="955"/>
      <c r="CBZ170" s="963"/>
      <c r="CCA170" s="2242"/>
      <c r="CCB170" s="1360"/>
      <c r="CCC170" s="1360"/>
      <c r="CCD170" s="1360"/>
      <c r="CCE170" s="1360"/>
      <c r="CCF170" s="1362"/>
      <c r="CCG170" s="955"/>
      <c r="CCH170" s="963"/>
      <c r="CCI170" s="2242"/>
      <c r="CCJ170" s="1360"/>
      <c r="CCK170" s="1360"/>
      <c r="CCL170" s="1360"/>
      <c r="CCM170" s="1360"/>
      <c r="CCN170" s="1362"/>
      <c r="CCO170" s="955"/>
      <c r="CCP170" s="963"/>
      <c r="CCQ170" s="2242"/>
      <c r="CCR170" s="1360"/>
      <c r="CCS170" s="1360"/>
      <c r="CCT170" s="1360"/>
      <c r="CCU170" s="1360"/>
      <c r="CCV170" s="1362"/>
      <c r="CCW170" s="955"/>
      <c r="CCX170" s="963"/>
      <c r="CCY170" s="2242"/>
      <c r="CCZ170" s="1360"/>
      <c r="CDA170" s="1360"/>
      <c r="CDB170" s="1360"/>
      <c r="CDC170" s="1360"/>
      <c r="CDD170" s="1362"/>
      <c r="CDE170" s="955"/>
      <c r="CDF170" s="963"/>
      <c r="CDG170" s="2242"/>
      <c r="CDH170" s="1360"/>
      <c r="CDI170" s="1360"/>
      <c r="CDJ170" s="1360"/>
      <c r="CDK170" s="1360"/>
      <c r="CDL170" s="1362"/>
      <c r="CDM170" s="955"/>
      <c r="CDN170" s="963"/>
      <c r="CDO170" s="2242"/>
      <c r="CDP170" s="1360"/>
      <c r="CDQ170" s="1360"/>
      <c r="CDR170" s="1360"/>
      <c r="CDS170" s="1360"/>
      <c r="CDT170" s="1362"/>
      <c r="CDU170" s="955"/>
      <c r="CDV170" s="963"/>
      <c r="CDW170" s="2242"/>
      <c r="CDX170" s="1360"/>
      <c r="CDY170" s="1360"/>
      <c r="CDZ170" s="1360"/>
      <c r="CEA170" s="1360"/>
      <c r="CEB170" s="1362"/>
      <c r="CEC170" s="955"/>
      <c r="CED170" s="963"/>
      <c r="CEE170" s="2242"/>
      <c r="CEF170" s="1360"/>
      <c r="CEG170" s="1360"/>
      <c r="CEH170" s="1360"/>
      <c r="CEI170" s="1360"/>
      <c r="CEJ170" s="1362"/>
      <c r="CEK170" s="955"/>
      <c r="CEL170" s="963"/>
      <c r="CEM170" s="2242"/>
      <c r="CEN170" s="1360"/>
      <c r="CEO170" s="1360"/>
      <c r="CEP170" s="1360"/>
      <c r="CEQ170" s="1360"/>
      <c r="CER170" s="1362"/>
      <c r="CES170" s="955"/>
      <c r="CET170" s="963"/>
      <c r="CEU170" s="2242"/>
      <c r="CEV170" s="1360"/>
      <c r="CEW170" s="1360"/>
      <c r="CEX170" s="1360"/>
      <c r="CEY170" s="1360"/>
      <c r="CEZ170" s="1362"/>
      <c r="CFA170" s="955"/>
      <c r="CFB170" s="963"/>
      <c r="CFC170" s="2242"/>
      <c r="CFD170" s="1360"/>
      <c r="CFE170" s="1360"/>
      <c r="CFF170" s="1360"/>
      <c r="CFG170" s="1360"/>
      <c r="CFH170" s="1362"/>
      <c r="CFI170" s="955"/>
      <c r="CFJ170" s="963"/>
      <c r="CFK170" s="2242"/>
      <c r="CFL170" s="1360"/>
      <c r="CFM170" s="1360"/>
      <c r="CFN170" s="1360"/>
      <c r="CFO170" s="1360"/>
      <c r="CFP170" s="1362"/>
      <c r="CFQ170" s="955"/>
      <c r="CFR170" s="963"/>
      <c r="CFS170" s="2242"/>
      <c r="CFT170" s="1360"/>
      <c r="CFU170" s="1360"/>
      <c r="CFV170" s="1360"/>
      <c r="CFW170" s="1360"/>
      <c r="CFX170" s="1362"/>
      <c r="CFY170" s="955"/>
      <c r="CFZ170" s="963"/>
      <c r="CGA170" s="2242"/>
      <c r="CGB170" s="1360"/>
      <c r="CGC170" s="1360"/>
      <c r="CGD170" s="1360"/>
      <c r="CGE170" s="1360"/>
      <c r="CGF170" s="1362"/>
      <c r="CGG170" s="955"/>
      <c r="CGH170" s="963"/>
      <c r="CGI170" s="2242"/>
      <c r="CGJ170" s="1360"/>
      <c r="CGK170" s="1360"/>
      <c r="CGL170" s="1360"/>
      <c r="CGM170" s="1360"/>
      <c r="CGN170" s="1362"/>
      <c r="CGO170" s="955"/>
      <c r="CGP170" s="963"/>
      <c r="CGQ170" s="2242"/>
      <c r="CGR170" s="1360"/>
      <c r="CGS170" s="1360"/>
      <c r="CGT170" s="1360"/>
      <c r="CGU170" s="1360"/>
      <c r="CGV170" s="1362"/>
      <c r="CGW170" s="955"/>
      <c r="CGX170" s="963"/>
      <c r="CGY170" s="2242"/>
      <c r="CGZ170" s="1360"/>
      <c r="CHA170" s="1360"/>
      <c r="CHB170" s="1360"/>
      <c r="CHC170" s="1360"/>
      <c r="CHD170" s="1362"/>
      <c r="CHE170" s="955"/>
      <c r="CHF170" s="963"/>
      <c r="CHG170" s="2242"/>
      <c r="CHH170" s="1360"/>
      <c r="CHI170" s="1360"/>
      <c r="CHJ170" s="1360"/>
      <c r="CHK170" s="1360"/>
      <c r="CHL170" s="1362"/>
      <c r="CHM170" s="955"/>
      <c r="CHN170" s="963"/>
      <c r="CHO170" s="2242"/>
      <c r="CHP170" s="1360"/>
      <c r="CHQ170" s="1360"/>
      <c r="CHR170" s="1360"/>
      <c r="CHS170" s="1360"/>
      <c r="CHT170" s="1362"/>
      <c r="CHU170" s="955"/>
      <c r="CHV170" s="963"/>
      <c r="CHW170" s="2242"/>
      <c r="CHX170" s="1360"/>
      <c r="CHY170" s="1360"/>
      <c r="CHZ170" s="1360"/>
      <c r="CIA170" s="1360"/>
      <c r="CIB170" s="1362"/>
      <c r="CIC170" s="955"/>
      <c r="CID170" s="963"/>
      <c r="CIE170" s="2242"/>
      <c r="CIF170" s="1360"/>
      <c r="CIG170" s="1360"/>
      <c r="CIH170" s="1360"/>
      <c r="CII170" s="1360"/>
      <c r="CIJ170" s="1362"/>
      <c r="CIK170" s="955"/>
      <c r="CIL170" s="963"/>
      <c r="CIM170" s="2242"/>
      <c r="CIN170" s="1360"/>
      <c r="CIO170" s="1360"/>
      <c r="CIP170" s="1360"/>
      <c r="CIQ170" s="1360"/>
      <c r="CIR170" s="1362"/>
      <c r="CIS170" s="955"/>
      <c r="CIT170" s="963"/>
      <c r="CIU170" s="2242"/>
      <c r="CIV170" s="1360"/>
      <c r="CIW170" s="1360"/>
      <c r="CIX170" s="1360"/>
      <c r="CIY170" s="1360"/>
      <c r="CIZ170" s="1362"/>
      <c r="CJA170" s="955"/>
      <c r="CJB170" s="963"/>
      <c r="CJC170" s="2242"/>
      <c r="CJD170" s="1360"/>
      <c r="CJE170" s="1360"/>
      <c r="CJF170" s="1360"/>
      <c r="CJG170" s="1360"/>
      <c r="CJH170" s="1362"/>
      <c r="CJI170" s="955"/>
      <c r="CJJ170" s="963"/>
      <c r="CJK170" s="2242"/>
      <c r="CJL170" s="1360"/>
      <c r="CJM170" s="1360"/>
      <c r="CJN170" s="1360"/>
      <c r="CJO170" s="1360"/>
      <c r="CJP170" s="1362"/>
      <c r="CJQ170" s="955"/>
      <c r="CJR170" s="963"/>
      <c r="CJS170" s="2242"/>
      <c r="CJT170" s="1360"/>
      <c r="CJU170" s="1360"/>
      <c r="CJV170" s="1360"/>
      <c r="CJW170" s="1360"/>
      <c r="CJX170" s="1362"/>
      <c r="CJY170" s="955"/>
      <c r="CJZ170" s="963"/>
      <c r="CKA170" s="2242"/>
      <c r="CKB170" s="1360"/>
      <c r="CKC170" s="1360"/>
      <c r="CKD170" s="1360"/>
      <c r="CKE170" s="1360"/>
      <c r="CKF170" s="1362"/>
      <c r="CKG170" s="955"/>
      <c r="CKH170" s="963"/>
      <c r="CKI170" s="2242"/>
      <c r="CKJ170" s="1360"/>
      <c r="CKK170" s="1360"/>
      <c r="CKL170" s="1360"/>
      <c r="CKM170" s="1360"/>
      <c r="CKN170" s="1362"/>
      <c r="CKO170" s="955"/>
      <c r="CKP170" s="963"/>
      <c r="CKQ170" s="2242"/>
      <c r="CKR170" s="1360"/>
      <c r="CKS170" s="1360"/>
      <c r="CKT170" s="1360"/>
      <c r="CKU170" s="1360"/>
      <c r="CKV170" s="1362"/>
      <c r="CKW170" s="955"/>
      <c r="CKX170" s="963"/>
      <c r="CKY170" s="2242"/>
      <c r="CKZ170" s="1360"/>
      <c r="CLA170" s="1360"/>
      <c r="CLB170" s="1360"/>
      <c r="CLC170" s="1360"/>
      <c r="CLD170" s="1362"/>
      <c r="CLE170" s="955"/>
      <c r="CLF170" s="963"/>
      <c r="CLG170" s="2242"/>
      <c r="CLH170" s="1360"/>
      <c r="CLI170" s="1360"/>
      <c r="CLJ170" s="1360"/>
      <c r="CLK170" s="1360"/>
      <c r="CLL170" s="1362"/>
      <c r="CLM170" s="955"/>
      <c r="CLN170" s="963"/>
      <c r="CLO170" s="2242"/>
      <c r="CLP170" s="1360"/>
      <c r="CLQ170" s="1360"/>
      <c r="CLR170" s="1360"/>
      <c r="CLS170" s="1360"/>
      <c r="CLT170" s="1362"/>
      <c r="CLU170" s="955"/>
      <c r="CLV170" s="963"/>
      <c r="CLW170" s="2242"/>
      <c r="CLX170" s="1360"/>
      <c r="CLY170" s="1360"/>
      <c r="CLZ170" s="1360"/>
      <c r="CMA170" s="1360"/>
      <c r="CMB170" s="1362"/>
      <c r="CMC170" s="955"/>
      <c r="CMD170" s="963"/>
      <c r="CME170" s="2242"/>
      <c r="CMF170" s="1360"/>
      <c r="CMG170" s="1360"/>
      <c r="CMH170" s="1360"/>
      <c r="CMI170" s="1360"/>
      <c r="CMJ170" s="1362"/>
      <c r="CMK170" s="955"/>
      <c r="CML170" s="963"/>
      <c r="CMM170" s="2242"/>
      <c r="CMN170" s="1360"/>
      <c r="CMO170" s="1360"/>
      <c r="CMP170" s="1360"/>
      <c r="CMQ170" s="1360"/>
      <c r="CMR170" s="1362"/>
      <c r="CMS170" s="955"/>
      <c r="CMT170" s="963"/>
      <c r="CMU170" s="2242"/>
      <c r="CMV170" s="1360"/>
      <c r="CMW170" s="1360"/>
      <c r="CMX170" s="1360"/>
      <c r="CMY170" s="1360"/>
      <c r="CMZ170" s="1362"/>
      <c r="CNA170" s="955"/>
      <c r="CNB170" s="963"/>
      <c r="CNC170" s="2242"/>
      <c r="CND170" s="1360"/>
      <c r="CNE170" s="1360"/>
      <c r="CNF170" s="1360"/>
      <c r="CNG170" s="1360"/>
      <c r="CNH170" s="1362"/>
      <c r="CNI170" s="955"/>
      <c r="CNJ170" s="963"/>
      <c r="CNK170" s="2242"/>
      <c r="CNL170" s="1360"/>
      <c r="CNM170" s="1360"/>
      <c r="CNN170" s="1360"/>
      <c r="CNO170" s="1360"/>
      <c r="CNP170" s="1362"/>
      <c r="CNQ170" s="955"/>
      <c r="CNR170" s="963"/>
      <c r="CNS170" s="2242"/>
      <c r="CNT170" s="1360"/>
      <c r="CNU170" s="1360"/>
      <c r="CNV170" s="1360"/>
      <c r="CNW170" s="1360"/>
      <c r="CNX170" s="1362"/>
      <c r="CNY170" s="955"/>
      <c r="CNZ170" s="963"/>
      <c r="COA170" s="2242"/>
      <c r="COB170" s="1360"/>
      <c r="COC170" s="1360"/>
      <c r="COD170" s="1360"/>
      <c r="COE170" s="1360"/>
      <c r="COF170" s="1362"/>
      <c r="COG170" s="955"/>
      <c r="COH170" s="963"/>
      <c r="COI170" s="2242"/>
      <c r="COJ170" s="1360"/>
      <c r="COK170" s="1360"/>
      <c r="COL170" s="1360"/>
      <c r="COM170" s="1360"/>
      <c r="CON170" s="1362"/>
      <c r="COO170" s="955"/>
      <c r="COP170" s="963"/>
      <c r="COQ170" s="2242"/>
      <c r="COR170" s="1360"/>
      <c r="COS170" s="1360"/>
      <c r="COT170" s="1360"/>
      <c r="COU170" s="1360"/>
      <c r="COV170" s="1362"/>
      <c r="COW170" s="955"/>
      <c r="COX170" s="963"/>
      <c r="COY170" s="2242"/>
      <c r="COZ170" s="1360"/>
      <c r="CPA170" s="1360"/>
      <c r="CPB170" s="1360"/>
      <c r="CPC170" s="1360"/>
      <c r="CPD170" s="1362"/>
      <c r="CPE170" s="955"/>
      <c r="CPF170" s="963"/>
      <c r="CPG170" s="2242"/>
      <c r="CPH170" s="1360"/>
      <c r="CPI170" s="1360"/>
      <c r="CPJ170" s="1360"/>
      <c r="CPK170" s="1360"/>
      <c r="CPL170" s="1362"/>
      <c r="CPM170" s="955"/>
      <c r="CPN170" s="963"/>
      <c r="CPO170" s="2242"/>
      <c r="CPP170" s="1360"/>
      <c r="CPQ170" s="1360"/>
      <c r="CPR170" s="1360"/>
      <c r="CPS170" s="1360"/>
      <c r="CPT170" s="1362"/>
      <c r="CPU170" s="955"/>
      <c r="CPV170" s="963"/>
      <c r="CPW170" s="2242"/>
      <c r="CPX170" s="1360"/>
      <c r="CPY170" s="1360"/>
      <c r="CPZ170" s="1360"/>
      <c r="CQA170" s="1360"/>
      <c r="CQB170" s="1362"/>
      <c r="CQC170" s="955"/>
      <c r="CQD170" s="963"/>
      <c r="CQE170" s="2242"/>
      <c r="CQF170" s="1360"/>
      <c r="CQG170" s="1360"/>
      <c r="CQH170" s="1360"/>
      <c r="CQI170" s="1360"/>
      <c r="CQJ170" s="1362"/>
      <c r="CQK170" s="955"/>
      <c r="CQL170" s="963"/>
      <c r="CQM170" s="2242"/>
      <c r="CQN170" s="1360"/>
      <c r="CQO170" s="1360"/>
      <c r="CQP170" s="1360"/>
      <c r="CQQ170" s="1360"/>
      <c r="CQR170" s="1362"/>
      <c r="CQS170" s="955"/>
      <c r="CQT170" s="963"/>
      <c r="CQU170" s="2242"/>
      <c r="CQV170" s="1360"/>
      <c r="CQW170" s="1360"/>
      <c r="CQX170" s="1360"/>
      <c r="CQY170" s="1360"/>
      <c r="CQZ170" s="1362"/>
      <c r="CRA170" s="955"/>
      <c r="CRB170" s="963"/>
      <c r="CRC170" s="2242"/>
      <c r="CRD170" s="1360"/>
      <c r="CRE170" s="1360"/>
      <c r="CRF170" s="1360"/>
      <c r="CRG170" s="1360"/>
      <c r="CRH170" s="1362"/>
      <c r="CRI170" s="955"/>
      <c r="CRJ170" s="963"/>
      <c r="CRK170" s="2242"/>
      <c r="CRL170" s="1360"/>
      <c r="CRM170" s="1360"/>
      <c r="CRN170" s="1360"/>
      <c r="CRO170" s="1360"/>
      <c r="CRP170" s="1362"/>
      <c r="CRQ170" s="955"/>
      <c r="CRR170" s="963"/>
      <c r="CRS170" s="2242"/>
      <c r="CRT170" s="1360"/>
      <c r="CRU170" s="1360"/>
      <c r="CRV170" s="1360"/>
      <c r="CRW170" s="1360"/>
      <c r="CRX170" s="1362"/>
      <c r="CRY170" s="955"/>
      <c r="CRZ170" s="963"/>
      <c r="CSA170" s="2242"/>
      <c r="CSB170" s="1360"/>
      <c r="CSC170" s="1360"/>
      <c r="CSD170" s="1360"/>
      <c r="CSE170" s="1360"/>
      <c r="CSF170" s="1362"/>
      <c r="CSG170" s="955"/>
      <c r="CSH170" s="963"/>
      <c r="CSI170" s="2242"/>
      <c r="CSJ170" s="1360"/>
      <c r="CSK170" s="1360"/>
      <c r="CSL170" s="1360"/>
      <c r="CSM170" s="1360"/>
      <c r="CSN170" s="1362"/>
      <c r="CSO170" s="955"/>
      <c r="CSP170" s="963"/>
      <c r="CSQ170" s="2242"/>
      <c r="CSR170" s="1360"/>
      <c r="CSS170" s="1360"/>
      <c r="CST170" s="1360"/>
      <c r="CSU170" s="1360"/>
      <c r="CSV170" s="1362"/>
      <c r="CSW170" s="955"/>
      <c r="CSX170" s="963"/>
      <c r="CSY170" s="2242"/>
      <c r="CSZ170" s="1360"/>
      <c r="CTA170" s="1360"/>
      <c r="CTB170" s="1360"/>
      <c r="CTC170" s="1360"/>
      <c r="CTD170" s="1362"/>
      <c r="CTE170" s="955"/>
      <c r="CTF170" s="963"/>
      <c r="CTG170" s="2242"/>
      <c r="CTH170" s="1360"/>
      <c r="CTI170" s="1360"/>
      <c r="CTJ170" s="1360"/>
      <c r="CTK170" s="1360"/>
      <c r="CTL170" s="1362"/>
      <c r="CTM170" s="955"/>
      <c r="CTN170" s="963"/>
      <c r="CTO170" s="2242"/>
      <c r="CTP170" s="1360"/>
      <c r="CTQ170" s="1360"/>
      <c r="CTR170" s="1360"/>
      <c r="CTS170" s="1360"/>
      <c r="CTT170" s="1362"/>
      <c r="CTU170" s="955"/>
      <c r="CTV170" s="963"/>
      <c r="CTW170" s="2242"/>
      <c r="CTX170" s="1360"/>
      <c r="CTY170" s="1360"/>
      <c r="CTZ170" s="1360"/>
      <c r="CUA170" s="1360"/>
      <c r="CUB170" s="1362"/>
      <c r="CUC170" s="955"/>
      <c r="CUD170" s="963"/>
      <c r="CUE170" s="2242"/>
      <c r="CUF170" s="1360"/>
      <c r="CUG170" s="1360"/>
      <c r="CUH170" s="1360"/>
      <c r="CUI170" s="1360"/>
      <c r="CUJ170" s="1362"/>
      <c r="CUK170" s="955"/>
      <c r="CUL170" s="963"/>
      <c r="CUM170" s="2242"/>
      <c r="CUN170" s="1360"/>
      <c r="CUO170" s="1360"/>
      <c r="CUP170" s="1360"/>
      <c r="CUQ170" s="1360"/>
      <c r="CUR170" s="1362"/>
      <c r="CUS170" s="955"/>
      <c r="CUT170" s="963"/>
      <c r="CUU170" s="2242"/>
      <c r="CUV170" s="1360"/>
      <c r="CUW170" s="1360"/>
      <c r="CUX170" s="1360"/>
      <c r="CUY170" s="1360"/>
      <c r="CUZ170" s="1362"/>
      <c r="CVA170" s="955"/>
      <c r="CVB170" s="963"/>
      <c r="CVC170" s="2242"/>
      <c r="CVD170" s="1360"/>
      <c r="CVE170" s="1360"/>
      <c r="CVF170" s="1360"/>
      <c r="CVG170" s="1360"/>
      <c r="CVH170" s="1362"/>
      <c r="CVI170" s="955"/>
      <c r="CVJ170" s="963"/>
      <c r="CVK170" s="2242"/>
      <c r="CVL170" s="1360"/>
      <c r="CVM170" s="1360"/>
      <c r="CVN170" s="1360"/>
      <c r="CVO170" s="1360"/>
      <c r="CVP170" s="1362"/>
      <c r="CVQ170" s="955"/>
      <c r="CVR170" s="963"/>
      <c r="CVS170" s="2242"/>
      <c r="CVT170" s="1360"/>
      <c r="CVU170" s="1360"/>
      <c r="CVV170" s="1360"/>
      <c r="CVW170" s="1360"/>
      <c r="CVX170" s="1362"/>
      <c r="CVY170" s="955"/>
      <c r="CVZ170" s="963"/>
      <c r="CWA170" s="2242"/>
      <c r="CWB170" s="1360"/>
      <c r="CWC170" s="1360"/>
      <c r="CWD170" s="1360"/>
      <c r="CWE170" s="1360"/>
      <c r="CWF170" s="1362"/>
      <c r="CWG170" s="955"/>
      <c r="CWH170" s="963"/>
      <c r="CWI170" s="2242"/>
      <c r="CWJ170" s="1360"/>
      <c r="CWK170" s="1360"/>
      <c r="CWL170" s="1360"/>
      <c r="CWM170" s="1360"/>
      <c r="CWN170" s="1362"/>
      <c r="CWO170" s="955"/>
      <c r="CWP170" s="963"/>
      <c r="CWQ170" s="2242"/>
      <c r="CWR170" s="1360"/>
      <c r="CWS170" s="1360"/>
      <c r="CWT170" s="1360"/>
      <c r="CWU170" s="1360"/>
      <c r="CWV170" s="1362"/>
      <c r="CWW170" s="955"/>
      <c r="CWX170" s="963"/>
      <c r="CWY170" s="2242"/>
      <c r="CWZ170" s="1360"/>
      <c r="CXA170" s="1360"/>
      <c r="CXB170" s="1360"/>
      <c r="CXC170" s="1360"/>
      <c r="CXD170" s="1362"/>
      <c r="CXE170" s="955"/>
      <c r="CXF170" s="963"/>
      <c r="CXG170" s="2242"/>
      <c r="CXH170" s="1360"/>
      <c r="CXI170" s="1360"/>
      <c r="CXJ170" s="1360"/>
      <c r="CXK170" s="1360"/>
      <c r="CXL170" s="1362"/>
      <c r="CXM170" s="955"/>
      <c r="CXN170" s="963"/>
      <c r="CXO170" s="2242"/>
      <c r="CXP170" s="1360"/>
      <c r="CXQ170" s="1360"/>
      <c r="CXR170" s="1360"/>
      <c r="CXS170" s="1360"/>
      <c r="CXT170" s="1362"/>
      <c r="CXU170" s="955"/>
      <c r="CXV170" s="963"/>
      <c r="CXW170" s="2242"/>
      <c r="CXX170" s="1360"/>
      <c r="CXY170" s="1360"/>
      <c r="CXZ170" s="1360"/>
      <c r="CYA170" s="1360"/>
      <c r="CYB170" s="1362"/>
      <c r="CYC170" s="955"/>
      <c r="CYD170" s="963"/>
      <c r="CYE170" s="2242"/>
      <c r="CYF170" s="1360"/>
      <c r="CYG170" s="1360"/>
      <c r="CYH170" s="1360"/>
      <c r="CYI170" s="1360"/>
      <c r="CYJ170" s="1362"/>
      <c r="CYK170" s="955"/>
      <c r="CYL170" s="963"/>
      <c r="CYM170" s="2242"/>
      <c r="CYN170" s="1360"/>
      <c r="CYO170" s="1360"/>
      <c r="CYP170" s="1360"/>
      <c r="CYQ170" s="1360"/>
      <c r="CYR170" s="1362"/>
      <c r="CYS170" s="955"/>
      <c r="CYT170" s="963"/>
      <c r="CYU170" s="2242"/>
      <c r="CYV170" s="1360"/>
      <c r="CYW170" s="1360"/>
      <c r="CYX170" s="1360"/>
      <c r="CYY170" s="1360"/>
      <c r="CYZ170" s="1362"/>
      <c r="CZA170" s="955"/>
      <c r="CZB170" s="963"/>
      <c r="CZC170" s="2242"/>
      <c r="CZD170" s="1360"/>
      <c r="CZE170" s="1360"/>
      <c r="CZF170" s="1360"/>
      <c r="CZG170" s="1360"/>
      <c r="CZH170" s="1362"/>
      <c r="CZI170" s="955"/>
      <c r="CZJ170" s="963"/>
      <c r="CZK170" s="2242"/>
      <c r="CZL170" s="1360"/>
      <c r="CZM170" s="1360"/>
      <c r="CZN170" s="1360"/>
      <c r="CZO170" s="1360"/>
      <c r="CZP170" s="1362"/>
      <c r="CZQ170" s="955"/>
      <c r="CZR170" s="963"/>
      <c r="CZS170" s="2242"/>
      <c r="CZT170" s="1360"/>
      <c r="CZU170" s="1360"/>
      <c r="CZV170" s="1360"/>
      <c r="CZW170" s="1360"/>
      <c r="CZX170" s="1362"/>
      <c r="CZY170" s="955"/>
      <c r="CZZ170" s="963"/>
      <c r="DAA170" s="2242"/>
      <c r="DAB170" s="1360"/>
      <c r="DAC170" s="1360"/>
      <c r="DAD170" s="1360"/>
      <c r="DAE170" s="1360"/>
      <c r="DAF170" s="1362"/>
      <c r="DAG170" s="955"/>
      <c r="DAH170" s="963"/>
      <c r="DAI170" s="2242"/>
      <c r="DAJ170" s="1360"/>
      <c r="DAK170" s="1360"/>
      <c r="DAL170" s="1360"/>
      <c r="DAM170" s="1360"/>
      <c r="DAN170" s="1362"/>
      <c r="DAO170" s="955"/>
      <c r="DAP170" s="963"/>
      <c r="DAQ170" s="2242"/>
      <c r="DAR170" s="1360"/>
      <c r="DAS170" s="1360"/>
      <c r="DAT170" s="1360"/>
      <c r="DAU170" s="1360"/>
      <c r="DAV170" s="1362"/>
      <c r="DAW170" s="955"/>
      <c r="DAX170" s="963"/>
      <c r="DAY170" s="2242"/>
      <c r="DAZ170" s="1360"/>
      <c r="DBA170" s="1360"/>
      <c r="DBB170" s="1360"/>
      <c r="DBC170" s="1360"/>
      <c r="DBD170" s="1362"/>
      <c r="DBE170" s="955"/>
      <c r="DBF170" s="963"/>
      <c r="DBG170" s="2242"/>
      <c r="DBH170" s="1360"/>
      <c r="DBI170" s="1360"/>
      <c r="DBJ170" s="1360"/>
      <c r="DBK170" s="1360"/>
      <c r="DBL170" s="1362"/>
      <c r="DBM170" s="955"/>
      <c r="DBN170" s="963"/>
      <c r="DBO170" s="2242"/>
      <c r="DBP170" s="1360"/>
      <c r="DBQ170" s="1360"/>
      <c r="DBR170" s="1360"/>
      <c r="DBS170" s="1360"/>
      <c r="DBT170" s="1362"/>
      <c r="DBU170" s="955"/>
      <c r="DBV170" s="963"/>
      <c r="DBW170" s="2242"/>
      <c r="DBX170" s="1360"/>
      <c r="DBY170" s="1360"/>
      <c r="DBZ170" s="1360"/>
      <c r="DCA170" s="1360"/>
      <c r="DCB170" s="1362"/>
      <c r="DCC170" s="955"/>
      <c r="DCD170" s="963"/>
      <c r="DCE170" s="2242"/>
      <c r="DCF170" s="1360"/>
      <c r="DCG170" s="1360"/>
      <c r="DCH170" s="1360"/>
      <c r="DCI170" s="1360"/>
      <c r="DCJ170" s="1362"/>
      <c r="DCK170" s="955"/>
      <c r="DCL170" s="963"/>
      <c r="DCM170" s="2242"/>
      <c r="DCN170" s="1360"/>
      <c r="DCO170" s="1360"/>
      <c r="DCP170" s="1360"/>
      <c r="DCQ170" s="1360"/>
      <c r="DCR170" s="1362"/>
      <c r="DCS170" s="955"/>
      <c r="DCT170" s="963"/>
      <c r="DCU170" s="2242"/>
      <c r="DCV170" s="1360"/>
      <c r="DCW170" s="1360"/>
      <c r="DCX170" s="1360"/>
      <c r="DCY170" s="1360"/>
      <c r="DCZ170" s="1362"/>
      <c r="DDA170" s="955"/>
      <c r="DDB170" s="963"/>
      <c r="DDC170" s="2242"/>
      <c r="DDD170" s="1360"/>
      <c r="DDE170" s="1360"/>
      <c r="DDF170" s="1360"/>
      <c r="DDG170" s="1360"/>
      <c r="DDH170" s="1362"/>
      <c r="DDI170" s="955"/>
      <c r="DDJ170" s="963"/>
      <c r="DDK170" s="2242"/>
      <c r="DDL170" s="1360"/>
      <c r="DDM170" s="1360"/>
      <c r="DDN170" s="1360"/>
      <c r="DDO170" s="1360"/>
      <c r="DDP170" s="1362"/>
      <c r="DDQ170" s="955"/>
      <c r="DDR170" s="963"/>
      <c r="DDS170" s="2242"/>
      <c r="DDT170" s="1360"/>
      <c r="DDU170" s="1360"/>
      <c r="DDV170" s="1360"/>
      <c r="DDW170" s="1360"/>
      <c r="DDX170" s="1362"/>
      <c r="DDY170" s="955"/>
      <c r="DDZ170" s="963"/>
      <c r="DEA170" s="2242"/>
      <c r="DEB170" s="1360"/>
      <c r="DEC170" s="1360"/>
      <c r="DED170" s="1360"/>
      <c r="DEE170" s="1360"/>
      <c r="DEF170" s="1362"/>
      <c r="DEG170" s="955"/>
      <c r="DEH170" s="963"/>
      <c r="DEI170" s="2242"/>
      <c r="DEJ170" s="1360"/>
      <c r="DEK170" s="1360"/>
      <c r="DEL170" s="1360"/>
      <c r="DEM170" s="1360"/>
      <c r="DEN170" s="1362"/>
      <c r="DEO170" s="955"/>
      <c r="DEP170" s="963"/>
      <c r="DEQ170" s="2242"/>
      <c r="DER170" s="1360"/>
      <c r="DES170" s="1360"/>
      <c r="DET170" s="1360"/>
      <c r="DEU170" s="1360"/>
      <c r="DEV170" s="1362"/>
      <c r="DEW170" s="955"/>
      <c r="DEX170" s="963"/>
      <c r="DEY170" s="2242"/>
      <c r="DEZ170" s="1360"/>
      <c r="DFA170" s="1360"/>
      <c r="DFB170" s="1360"/>
      <c r="DFC170" s="1360"/>
      <c r="DFD170" s="1362"/>
      <c r="DFE170" s="955"/>
      <c r="DFF170" s="963"/>
      <c r="DFG170" s="2242"/>
      <c r="DFH170" s="1360"/>
      <c r="DFI170" s="1360"/>
      <c r="DFJ170" s="1360"/>
      <c r="DFK170" s="1360"/>
      <c r="DFL170" s="1362"/>
      <c r="DFM170" s="955"/>
      <c r="DFN170" s="963"/>
      <c r="DFO170" s="2242"/>
      <c r="DFP170" s="1360"/>
      <c r="DFQ170" s="1360"/>
      <c r="DFR170" s="1360"/>
      <c r="DFS170" s="1360"/>
      <c r="DFT170" s="1362"/>
      <c r="DFU170" s="955"/>
      <c r="DFV170" s="963"/>
      <c r="DFW170" s="2242"/>
      <c r="DFX170" s="1360"/>
      <c r="DFY170" s="1360"/>
      <c r="DFZ170" s="1360"/>
      <c r="DGA170" s="1360"/>
      <c r="DGB170" s="1362"/>
      <c r="DGC170" s="955"/>
      <c r="DGD170" s="963"/>
      <c r="DGE170" s="2242"/>
      <c r="DGF170" s="1360"/>
      <c r="DGG170" s="1360"/>
      <c r="DGH170" s="1360"/>
      <c r="DGI170" s="1360"/>
      <c r="DGJ170" s="1362"/>
      <c r="DGK170" s="955"/>
      <c r="DGL170" s="963"/>
      <c r="DGM170" s="2242"/>
      <c r="DGN170" s="1360"/>
      <c r="DGO170" s="1360"/>
      <c r="DGP170" s="1360"/>
      <c r="DGQ170" s="1360"/>
      <c r="DGR170" s="1362"/>
      <c r="DGS170" s="955"/>
      <c r="DGT170" s="963"/>
      <c r="DGU170" s="2242"/>
      <c r="DGV170" s="1360"/>
      <c r="DGW170" s="1360"/>
      <c r="DGX170" s="1360"/>
      <c r="DGY170" s="1360"/>
      <c r="DGZ170" s="1362"/>
      <c r="DHA170" s="955"/>
      <c r="DHB170" s="963"/>
      <c r="DHC170" s="2242"/>
      <c r="DHD170" s="1360"/>
      <c r="DHE170" s="1360"/>
      <c r="DHF170" s="1360"/>
      <c r="DHG170" s="1360"/>
      <c r="DHH170" s="1362"/>
      <c r="DHI170" s="955"/>
      <c r="DHJ170" s="963"/>
      <c r="DHK170" s="2242"/>
      <c r="DHL170" s="1360"/>
      <c r="DHM170" s="1360"/>
      <c r="DHN170" s="1360"/>
      <c r="DHO170" s="1360"/>
      <c r="DHP170" s="1362"/>
      <c r="DHQ170" s="955"/>
      <c r="DHR170" s="963"/>
      <c r="DHS170" s="2242"/>
      <c r="DHT170" s="1360"/>
      <c r="DHU170" s="1360"/>
      <c r="DHV170" s="1360"/>
      <c r="DHW170" s="1360"/>
      <c r="DHX170" s="1362"/>
      <c r="DHY170" s="955"/>
      <c r="DHZ170" s="963"/>
      <c r="DIA170" s="2242"/>
      <c r="DIB170" s="1360"/>
      <c r="DIC170" s="1360"/>
      <c r="DID170" s="1360"/>
      <c r="DIE170" s="1360"/>
      <c r="DIF170" s="1362"/>
      <c r="DIG170" s="955"/>
      <c r="DIH170" s="963"/>
      <c r="DII170" s="2242"/>
      <c r="DIJ170" s="1360"/>
      <c r="DIK170" s="1360"/>
      <c r="DIL170" s="1360"/>
      <c r="DIM170" s="1360"/>
      <c r="DIN170" s="1362"/>
      <c r="DIO170" s="955"/>
      <c r="DIP170" s="963"/>
      <c r="DIQ170" s="2242"/>
      <c r="DIR170" s="1360"/>
      <c r="DIS170" s="1360"/>
      <c r="DIT170" s="1360"/>
      <c r="DIU170" s="1360"/>
      <c r="DIV170" s="1362"/>
      <c r="DIW170" s="955"/>
      <c r="DIX170" s="963"/>
      <c r="DIY170" s="2242"/>
      <c r="DIZ170" s="1360"/>
      <c r="DJA170" s="1360"/>
      <c r="DJB170" s="1360"/>
      <c r="DJC170" s="1360"/>
      <c r="DJD170" s="1362"/>
      <c r="DJE170" s="955"/>
      <c r="DJF170" s="963"/>
      <c r="DJG170" s="2242"/>
      <c r="DJH170" s="1360"/>
      <c r="DJI170" s="1360"/>
      <c r="DJJ170" s="1360"/>
      <c r="DJK170" s="1360"/>
      <c r="DJL170" s="1362"/>
      <c r="DJM170" s="955"/>
      <c r="DJN170" s="963"/>
      <c r="DJO170" s="2242"/>
      <c r="DJP170" s="1360"/>
      <c r="DJQ170" s="1360"/>
      <c r="DJR170" s="1360"/>
      <c r="DJS170" s="1360"/>
      <c r="DJT170" s="1362"/>
      <c r="DJU170" s="955"/>
      <c r="DJV170" s="963"/>
      <c r="DJW170" s="2242"/>
      <c r="DJX170" s="1360"/>
      <c r="DJY170" s="1360"/>
      <c r="DJZ170" s="1360"/>
      <c r="DKA170" s="1360"/>
      <c r="DKB170" s="1362"/>
      <c r="DKC170" s="955"/>
      <c r="DKD170" s="963"/>
      <c r="DKE170" s="2242"/>
      <c r="DKF170" s="1360"/>
      <c r="DKG170" s="1360"/>
      <c r="DKH170" s="1360"/>
      <c r="DKI170" s="1360"/>
      <c r="DKJ170" s="1362"/>
      <c r="DKK170" s="955"/>
      <c r="DKL170" s="963"/>
      <c r="DKM170" s="2242"/>
      <c r="DKN170" s="1360"/>
      <c r="DKO170" s="1360"/>
      <c r="DKP170" s="1360"/>
      <c r="DKQ170" s="1360"/>
      <c r="DKR170" s="1362"/>
      <c r="DKS170" s="955"/>
      <c r="DKT170" s="963"/>
      <c r="DKU170" s="2242"/>
      <c r="DKV170" s="1360"/>
      <c r="DKW170" s="1360"/>
      <c r="DKX170" s="1360"/>
      <c r="DKY170" s="1360"/>
      <c r="DKZ170" s="1362"/>
      <c r="DLA170" s="955"/>
      <c r="DLB170" s="963"/>
      <c r="DLC170" s="2242"/>
      <c r="DLD170" s="1360"/>
      <c r="DLE170" s="1360"/>
      <c r="DLF170" s="1360"/>
      <c r="DLG170" s="1360"/>
      <c r="DLH170" s="1362"/>
      <c r="DLI170" s="955"/>
      <c r="DLJ170" s="963"/>
      <c r="DLK170" s="2242"/>
      <c r="DLL170" s="1360"/>
      <c r="DLM170" s="1360"/>
      <c r="DLN170" s="1360"/>
      <c r="DLO170" s="1360"/>
      <c r="DLP170" s="1362"/>
      <c r="DLQ170" s="955"/>
      <c r="DLR170" s="963"/>
      <c r="DLS170" s="2242"/>
      <c r="DLT170" s="1360"/>
      <c r="DLU170" s="1360"/>
      <c r="DLV170" s="1360"/>
      <c r="DLW170" s="1360"/>
      <c r="DLX170" s="1362"/>
      <c r="DLY170" s="955"/>
      <c r="DLZ170" s="963"/>
      <c r="DMA170" s="2242"/>
      <c r="DMB170" s="1360"/>
      <c r="DMC170" s="1360"/>
      <c r="DMD170" s="1360"/>
      <c r="DME170" s="1360"/>
      <c r="DMF170" s="1362"/>
      <c r="DMG170" s="955"/>
      <c r="DMH170" s="963"/>
      <c r="DMI170" s="2242"/>
      <c r="DMJ170" s="1360"/>
      <c r="DMK170" s="1360"/>
      <c r="DML170" s="1360"/>
      <c r="DMM170" s="1360"/>
      <c r="DMN170" s="1362"/>
      <c r="DMO170" s="955"/>
      <c r="DMP170" s="963"/>
      <c r="DMQ170" s="2242"/>
      <c r="DMR170" s="1360"/>
      <c r="DMS170" s="1360"/>
      <c r="DMT170" s="1360"/>
      <c r="DMU170" s="1360"/>
      <c r="DMV170" s="1362"/>
      <c r="DMW170" s="955"/>
      <c r="DMX170" s="963"/>
      <c r="DMY170" s="2242"/>
      <c r="DMZ170" s="1360"/>
      <c r="DNA170" s="1360"/>
      <c r="DNB170" s="1360"/>
      <c r="DNC170" s="1360"/>
      <c r="DND170" s="1362"/>
      <c r="DNE170" s="955"/>
      <c r="DNF170" s="963"/>
      <c r="DNG170" s="2242"/>
      <c r="DNH170" s="1360"/>
      <c r="DNI170" s="1360"/>
      <c r="DNJ170" s="1360"/>
      <c r="DNK170" s="1360"/>
      <c r="DNL170" s="1362"/>
      <c r="DNM170" s="955"/>
      <c r="DNN170" s="963"/>
      <c r="DNO170" s="2242"/>
      <c r="DNP170" s="1360"/>
      <c r="DNQ170" s="1360"/>
      <c r="DNR170" s="1360"/>
      <c r="DNS170" s="1360"/>
      <c r="DNT170" s="1362"/>
      <c r="DNU170" s="955"/>
      <c r="DNV170" s="963"/>
      <c r="DNW170" s="2242"/>
      <c r="DNX170" s="1360"/>
      <c r="DNY170" s="1360"/>
      <c r="DNZ170" s="1360"/>
      <c r="DOA170" s="1360"/>
      <c r="DOB170" s="1362"/>
      <c r="DOC170" s="955"/>
      <c r="DOD170" s="963"/>
      <c r="DOE170" s="2242"/>
      <c r="DOF170" s="1360"/>
      <c r="DOG170" s="1360"/>
      <c r="DOH170" s="1360"/>
      <c r="DOI170" s="1360"/>
      <c r="DOJ170" s="1362"/>
      <c r="DOK170" s="955"/>
      <c r="DOL170" s="963"/>
      <c r="DOM170" s="2242"/>
      <c r="DON170" s="1360"/>
      <c r="DOO170" s="1360"/>
      <c r="DOP170" s="1360"/>
      <c r="DOQ170" s="1360"/>
      <c r="DOR170" s="1362"/>
      <c r="DOS170" s="955"/>
      <c r="DOT170" s="963"/>
      <c r="DOU170" s="2242"/>
      <c r="DOV170" s="1360"/>
      <c r="DOW170" s="1360"/>
      <c r="DOX170" s="1360"/>
      <c r="DOY170" s="1360"/>
      <c r="DOZ170" s="1362"/>
      <c r="DPA170" s="955"/>
      <c r="DPB170" s="963"/>
      <c r="DPC170" s="2242"/>
      <c r="DPD170" s="1360"/>
      <c r="DPE170" s="1360"/>
      <c r="DPF170" s="1360"/>
      <c r="DPG170" s="1360"/>
      <c r="DPH170" s="1362"/>
      <c r="DPI170" s="955"/>
      <c r="DPJ170" s="963"/>
      <c r="DPK170" s="2242"/>
      <c r="DPL170" s="1360"/>
      <c r="DPM170" s="1360"/>
      <c r="DPN170" s="1360"/>
      <c r="DPO170" s="1360"/>
      <c r="DPP170" s="1362"/>
      <c r="DPQ170" s="955"/>
      <c r="DPR170" s="963"/>
      <c r="DPS170" s="2242"/>
      <c r="DPT170" s="1360"/>
      <c r="DPU170" s="1360"/>
      <c r="DPV170" s="1360"/>
      <c r="DPW170" s="1360"/>
      <c r="DPX170" s="1362"/>
      <c r="DPY170" s="955"/>
      <c r="DPZ170" s="963"/>
      <c r="DQA170" s="2242"/>
      <c r="DQB170" s="1360"/>
      <c r="DQC170" s="1360"/>
      <c r="DQD170" s="1360"/>
      <c r="DQE170" s="1360"/>
      <c r="DQF170" s="1362"/>
      <c r="DQG170" s="955"/>
      <c r="DQH170" s="963"/>
      <c r="DQI170" s="2242"/>
      <c r="DQJ170" s="1360"/>
      <c r="DQK170" s="1360"/>
      <c r="DQL170" s="1360"/>
      <c r="DQM170" s="1360"/>
      <c r="DQN170" s="1362"/>
      <c r="DQO170" s="955"/>
      <c r="DQP170" s="963"/>
      <c r="DQQ170" s="2242"/>
      <c r="DQR170" s="1360"/>
      <c r="DQS170" s="1360"/>
      <c r="DQT170" s="1360"/>
      <c r="DQU170" s="1360"/>
      <c r="DQV170" s="1362"/>
      <c r="DQW170" s="955"/>
      <c r="DQX170" s="963"/>
      <c r="DQY170" s="2242"/>
      <c r="DQZ170" s="1360"/>
      <c r="DRA170" s="1360"/>
      <c r="DRB170" s="1360"/>
      <c r="DRC170" s="1360"/>
      <c r="DRD170" s="1362"/>
      <c r="DRE170" s="955"/>
      <c r="DRF170" s="963"/>
      <c r="DRG170" s="2242"/>
      <c r="DRH170" s="1360"/>
      <c r="DRI170" s="1360"/>
      <c r="DRJ170" s="1360"/>
      <c r="DRK170" s="1360"/>
      <c r="DRL170" s="1362"/>
      <c r="DRM170" s="955"/>
      <c r="DRN170" s="963"/>
      <c r="DRO170" s="2242"/>
      <c r="DRP170" s="1360"/>
      <c r="DRQ170" s="1360"/>
      <c r="DRR170" s="1360"/>
      <c r="DRS170" s="1360"/>
      <c r="DRT170" s="1362"/>
      <c r="DRU170" s="955"/>
      <c r="DRV170" s="963"/>
      <c r="DRW170" s="2242"/>
      <c r="DRX170" s="1360"/>
      <c r="DRY170" s="1360"/>
      <c r="DRZ170" s="1360"/>
      <c r="DSA170" s="1360"/>
      <c r="DSB170" s="1362"/>
      <c r="DSC170" s="955"/>
      <c r="DSD170" s="963"/>
      <c r="DSE170" s="2242"/>
      <c r="DSF170" s="1360"/>
      <c r="DSG170" s="1360"/>
      <c r="DSH170" s="1360"/>
      <c r="DSI170" s="1360"/>
      <c r="DSJ170" s="1362"/>
      <c r="DSK170" s="955"/>
      <c r="DSL170" s="963"/>
      <c r="DSM170" s="2242"/>
      <c r="DSN170" s="1360"/>
      <c r="DSO170" s="1360"/>
      <c r="DSP170" s="1360"/>
      <c r="DSQ170" s="1360"/>
      <c r="DSR170" s="1362"/>
      <c r="DSS170" s="955"/>
      <c r="DST170" s="963"/>
      <c r="DSU170" s="2242"/>
      <c r="DSV170" s="1360"/>
      <c r="DSW170" s="1360"/>
      <c r="DSX170" s="1360"/>
      <c r="DSY170" s="1360"/>
      <c r="DSZ170" s="1362"/>
      <c r="DTA170" s="955"/>
      <c r="DTB170" s="963"/>
      <c r="DTC170" s="2242"/>
      <c r="DTD170" s="1360"/>
      <c r="DTE170" s="1360"/>
      <c r="DTF170" s="1360"/>
      <c r="DTG170" s="1360"/>
      <c r="DTH170" s="1362"/>
      <c r="DTI170" s="955"/>
      <c r="DTJ170" s="963"/>
      <c r="DTK170" s="2242"/>
      <c r="DTL170" s="1360"/>
      <c r="DTM170" s="1360"/>
      <c r="DTN170" s="1360"/>
      <c r="DTO170" s="1360"/>
      <c r="DTP170" s="1362"/>
      <c r="DTQ170" s="955"/>
      <c r="DTR170" s="963"/>
      <c r="DTS170" s="2242"/>
      <c r="DTT170" s="1360"/>
      <c r="DTU170" s="1360"/>
      <c r="DTV170" s="1360"/>
      <c r="DTW170" s="1360"/>
      <c r="DTX170" s="1362"/>
      <c r="DTY170" s="955"/>
      <c r="DTZ170" s="963"/>
      <c r="DUA170" s="2242"/>
      <c r="DUB170" s="1360"/>
      <c r="DUC170" s="1360"/>
      <c r="DUD170" s="1360"/>
      <c r="DUE170" s="1360"/>
      <c r="DUF170" s="1362"/>
      <c r="DUG170" s="955"/>
      <c r="DUH170" s="963"/>
      <c r="DUI170" s="2242"/>
      <c r="DUJ170" s="1360"/>
      <c r="DUK170" s="1360"/>
      <c r="DUL170" s="1360"/>
      <c r="DUM170" s="1360"/>
      <c r="DUN170" s="1362"/>
      <c r="DUO170" s="955"/>
      <c r="DUP170" s="963"/>
      <c r="DUQ170" s="2242"/>
      <c r="DUR170" s="1360"/>
      <c r="DUS170" s="1360"/>
      <c r="DUT170" s="1360"/>
      <c r="DUU170" s="1360"/>
      <c r="DUV170" s="1362"/>
      <c r="DUW170" s="955"/>
      <c r="DUX170" s="963"/>
      <c r="DUY170" s="2242"/>
      <c r="DUZ170" s="1360"/>
      <c r="DVA170" s="1360"/>
      <c r="DVB170" s="1360"/>
      <c r="DVC170" s="1360"/>
      <c r="DVD170" s="1362"/>
      <c r="DVE170" s="955"/>
      <c r="DVF170" s="963"/>
      <c r="DVG170" s="2242"/>
      <c r="DVH170" s="1360"/>
      <c r="DVI170" s="1360"/>
      <c r="DVJ170" s="1360"/>
      <c r="DVK170" s="1360"/>
      <c r="DVL170" s="1362"/>
      <c r="DVM170" s="955"/>
      <c r="DVN170" s="963"/>
      <c r="DVO170" s="2242"/>
      <c r="DVP170" s="1360"/>
      <c r="DVQ170" s="1360"/>
      <c r="DVR170" s="1360"/>
      <c r="DVS170" s="1360"/>
      <c r="DVT170" s="1362"/>
      <c r="DVU170" s="955"/>
      <c r="DVV170" s="963"/>
      <c r="DVW170" s="2242"/>
      <c r="DVX170" s="1360"/>
      <c r="DVY170" s="1360"/>
      <c r="DVZ170" s="1360"/>
      <c r="DWA170" s="1360"/>
      <c r="DWB170" s="1362"/>
      <c r="DWC170" s="955"/>
      <c r="DWD170" s="963"/>
      <c r="DWE170" s="2242"/>
      <c r="DWF170" s="1360"/>
      <c r="DWG170" s="1360"/>
      <c r="DWH170" s="1360"/>
      <c r="DWI170" s="1360"/>
      <c r="DWJ170" s="1362"/>
      <c r="DWK170" s="955"/>
      <c r="DWL170" s="963"/>
      <c r="DWM170" s="2242"/>
      <c r="DWN170" s="1360"/>
      <c r="DWO170" s="1360"/>
      <c r="DWP170" s="1360"/>
      <c r="DWQ170" s="1360"/>
      <c r="DWR170" s="1362"/>
      <c r="DWS170" s="955"/>
      <c r="DWT170" s="963"/>
      <c r="DWU170" s="2242"/>
      <c r="DWV170" s="1360"/>
      <c r="DWW170" s="1360"/>
      <c r="DWX170" s="1360"/>
      <c r="DWY170" s="1360"/>
      <c r="DWZ170" s="1362"/>
      <c r="DXA170" s="955"/>
      <c r="DXB170" s="963"/>
      <c r="DXC170" s="2242"/>
      <c r="DXD170" s="1360"/>
      <c r="DXE170" s="1360"/>
      <c r="DXF170" s="1360"/>
      <c r="DXG170" s="1360"/>
      <c r="DXH170" s="1362"/>
      <c r="DXI170" s="955"/>
      <c r="DXJ170" s="963"/>
      <c r="DXK170" s="2242"/>
      <c r="DXL170" s="1360"/>
      <c r="DXM170" s="1360"/>
      <c r="DXN170" s="1360"/>
      <c r="DXO170" s="1360"/>
      <c r="DXP170" s="1362"/>
      <c r="DXQ170" s="955"/>
      <c r="DXR170" s="963"/>
      <c r="DXS170" s="2242"/>
      <c r="DXT170" s="1360"/>
      <c r="DXU170" s="1360"/>
      <c r="DXV170" s="1360"/>
      <c r="DXW170" s="1360"/>
      <c r="DXX170" s="1362"/>
      <c r="DXY170" s="955"/>
      <c r="DXZ170" s="963"/>
      <c r="DYA170" s="2242"/>
      <c r="DYB170" s="1360"/>
      <c r="DYC170" s="1360"/>
      <c r="DYD170" s="1360"/>
      <c r="DYE170" s="1360"/>
      <c r="DYF170" s="1362"/>
      <c r="DYG170" s="955"/>
      <c r="DYH170" s="963"/>
      <c r="DYI170" s="2242"/>
      <c r="DYJ170" s="1360"/>
      <c r="DYK170" s="1360"/>
      <c r="DYL170" s="1360"/>
      <c r="DYM170" s="1360"/>
      <c r="DYN170" s="1362"/>
      <c r="DYO170" s="955"/>
      <c r="DYP170" s="963"/>
      <c r="DYQ170" s="2242"/>
      <c r="DYR170" s="1360"/>
      <c r="DYS170" s="1360"/>
      <c r="DYT170" s="1360"/>
      <c r="DYU170" s="1360"/>
      <c r="DYV170" s="1362"/>
      <c r="DYW170" s="955"/>
      <c r="DYX170" s="963"/>
      <c r="DYY170" s="2242"/>
      <c r="DYZ170" s="1360"/>
      <c r="DZA170" s="1360"/>
      <c r="DZB170" s="1360"/>
      <c r="DZC170" s="1360"/>
      <c r="DZD170" s="1362"/>
      <c r="DZE170" s="955"/>
      <c r="DZF170" s="963"/>
      <c r="DZG170" s="2242"/>
      <c r="DZH170" s="1360"/>
      <c r="DZI170" s="1360"/>
      <c r="DZJ170" s="1360"/>
      <c r="DZK170" s="1360"/>
      <c r="DZL170" s="1362"/>
      <c r="DZM170" s="955"/>
      <c r="DZN170" s="963"/>
      <c r="DZO170" s="2242"/>
      <c r="DZP170" s="1360"/>
      <c r="DZQ170" s="1360"/>
      <c r="DZR170" s="1360"/>
      <c r="DZS170" s="1360"/>
      <c r="DZT170" s="1362"/>
      <c r="DZU170" s="955"/>
      <c r="DZV170" s="963"/>
      <c r="DZW170" s="2242"/>
      <c r="DZX170" s="1360"/>
      <c r="DZY170" s="1360"/>
      <c r="DZZ170" s="1360"/>
      <c r="EAA170" s="1360"/>
      <c r="EAB170" s="1362"/>
      <c r="EAC170" s="955"/>
      <c r="EAD170" s="963"/>
      <c r="EAE170" s="2242"/>
      <c r="EAF170" s="1360"/>
      <c r="EAG170" s="1360"/>
      <c r="EAH170" s="1360"/>
      <c r="EAI170" s="1360"/>
      <c r="EAJ170" s="1362"/>
      <c r="EAK170" s="955"/>
      <c r="EAL170" s="963"/>
      <c r="EAM170" s="2242"/>
      <c r="EAN170" s="1360"/>
      <c r="EAO170" s="1360"/>
      <c r="EAP170" s="1360"/>
      <c r="EAQ170" s="1360"/>
      <c r="EAR170" s="1362"/>
      <c r="EAS170" s="955"/>
      <c r="EAT170" s="963"/>
      <c r="EAU170" s="2242"/>
      <c r="EAV170" s="1360"/>
      <c r="EAW170" s="1360"/>
      <c r="EAX170" s="1360"/>
      <c r="EAY170" s="1360"/>
      <c r="EAZ170" s="1362"/>
      <c r="EBA170" s="955"/>
      <c r="EBB170" s="963"/>
      <c r="EBC170" s="2242"/>
      <c r="EBD170" s="1360"/>
      <c r="EBE170" s="1360"/>
      <c r="EBF170" s="1360"/>
      <c r="EBG170" s="1360"/>
      <c r="EBH170" s="1362"/>
      <c r="EBI170" s="955"/>
      <c r="EBJ170" s="963"/>
      <c r="EBK170" s="2242"/>
      <c r="EBL170" s="1360"/>
      <c r="EBM170" s="1360"/>
      <c r="EBN170" s="1360"/>
      <c r="EBO170" s="1360"/>
      <c r="EBP170" s="1362"/>
      <c r="EBQ170" s="955"/>
      <c r="EBR170" s="963"/>
      <c r="EBS170" s="2242"/>
      <c r="EBT170" s="1360"/>
      <c r="EBU170" s="1360"/>
      <c r="EBV170" s="1360"/>
      <c r="EBW170" s="1360"/>
      <c r="EBX170" s="1362"/>
      <c r="EBY170" s="955"/>
      <c r="EBZ170" s="963"/>
      <c r="ECA170" s="2242"/>
      <c r="ECB170" s="1360"/>
      <c r="ECC170" s="1360"/>
      <c r="ECD170" s="1360"/>
      <c r="ECE170" s="1360"/>
      <c r="ECF170" s="1362"/>
      <c r="ECG170" s="955"/>
      <c r="ECH170" s="963"/>
      <c r="ECI170" s="2242"/>
      <c r="ECJ170" s="1360"/>
      <c r="ECK170" s="1360"/>
      <c r="ECL170" s="1360"/>
      <c r="ECM170" s="1360"/>
      <c r="ECN170" s="1362"/>
      <c r="ECO170" s="955"/>
      <c r="ECP170" s="963"/>
      <c r="ECQ170" s="2242"/>
      <c r="ECR170" s="1360"/>
      <c r="ECS170" s="1360"/>
      <c r="ECT170" s="1360"/>
      <c r="ECU170" s="1360"/>
      <c r="ECV170" s="1362"/>
      <c r="ECW170" s="955"/>
      <c r="ECX170" s="963"/>
      <c r="ECY170" s="2242"/>
      <c r="ECZ170" s="1360"/>
      <c r="EDA170" s="1360"/>
      <c r="EDB170" s="1360"/>
      <c r="EDC170" s="1360"/>
      <c r="EDD170" s="1362"/>
      <c r="EDE170" s="955"/>
      <c r="EDF170" s="963"/>
      <c r="EDG170" s="2242"/>
      <c r="EDH170" s="1360"/>
      <c r="EDI170" s="1360"/>
      <c r="EDJ170" s="1360"/>
      <c r="EDK170" s="1360"/>
      <c r="EDL170" s="1362"/>
      <c r="EDM170" s="955"/>
      <c r="EDN170" s="963"/>
      <c r="EDO170" s="2242"/>
      <c r="EDP170" s="1360"/>
      <c r="EDQ170" s="1360"/>
      <c r="EDR170" s="1360"/>
      <c r="EDS170" s="1360"/>
      <c r="EDT170" s="1362"/>
      <c r="EDU170" s="955"/>
      <c r="EDV170" s="963"/>
      <c r="EDW170" s="2242"/>
      <c r="EDX170" s="1360"/>
      <c r="EDY170" s="1360"/>
      <c r="EDZ170" s="1360"/>
      <c r="EEA170" s="1360"/>
      <c r="EEB170" s="1362"/>
      <c r="EEC170" s="955"/>
      <c r="EED170" s="963"/>
      <c r="EEE170" s="2242"/>
      <c r="EEF170" s="1360"/>
      <c r="EEG170" s="1360"/>
      <c r="EEH170" s="1360"/>
      <c r="EEI170" s="1360"/>
      <c r="EEJ170" s="1362"/>
      <c r="EEK170" s="955"/>
      <c r="EEL170" s="963"/>
      <c r="EEM170" s="2242"/>
      <c r="EEN170" s="1360"/>
      <c r="EEO170" s="1360"/>
      <c r="EEP170" s="1360"/>
      <c r="EEQ170" s="1360"/>
      <c r="EER170" s="1362"/>
      <c r="EES170" s="955"/>
      <c r="EET170" s="963"/>
      <c r="EEU170" s="2242"/>
      <c r="EEV170" s="1360"/>
      <c r="EEW170" s="1360"/>
      <c r="EEX170" s="1360"/>
      <c r="EEY170" s="1360"/>
      <c r="EEZ170" s="1362"/>
      <c r="EFA170" s="955"/>
      <c r="EFB170" s="963"/>
      <c r="EFC170" s="2242"/>
      <c r="EFD170" s="1360"/>
      <c r="EFE170" s="1360"/>
      <c r="EFF170" s="1360"/>
      <c r="EFG170" s="1360"/>
      <c r="EFH170" s="1362"/>
      <c r="EFI170" s="955"/>
      <c r="EFJ170" s="963"/>
      <c r="EFK170" s="2242"/>
      <c r="EFL170" s="1360"/>
      <c r="EFM170" s="1360"/>
      <c r="EFN170" s="1360"/>
      <c r="EFO170" s="1360"/>
      <c r="EFP170" s="1362"/>
      <c r="EFQ170" s="955"/>
      <c r="EFR170" s="963"/>
      <c r="EFS170" s="2242"/>
      <c r="EFT170" s="1360"/>
      <c r="EFU170" s="1360"/>
      <c r="EFV170" s="1360"/>
      <c r="EFW170" s="1360"/>
      <c r="EFX170" s="1362"/>
      <c r="EFY170" s="955"/>
      <c r="EFZ170" s="963"/>
      <c r="EGA170" s="2242"/>
      <c r="EGB170" s="1360"/>
      <c r="EGC170" s="1360"/>
      <c r="EGD170" s="1360"/>
      <c r="EGE170" s="1360"/>
      <c r="EGF170" s="1362"/>
      <c r="EGG170" s="955"/>
      <c r="EGH170" s="963"/>
      <c r="EGI170" s="2242"/>
      <c r="EGJ170" s="1360"/>
      <c r="EGK170" s="1360"/>
      <c r="EGL170" s="1360"/>
      <c r="EGM170" s="1360"/>
      <c r="EGN170" s="1362"/>
      <c r="EGO170" s="955"/>
      <c r="EGP170" s="963"/>
      <c r="EGQ170" s="2242"/>
      <c r="EGR170" s="1360"/>
      <c r="EGS170" s="1360"/>
      <c r="EGT170" s="1360"/>
      <c r="EGU170" s="1360"/>
      <c r="EGV170" s="1362"/>
      <c r="EGW170" s="955"/>
      <c r="EGX170" s="963"/>
      <c r="EGY170" s="2242"/>
      <c r="EGZ170" s="1360"/>
      <c r="EHA170" s="1360"/>
      <c r="EHB170" s="1360"/>
      <c r="EHC170" s="1360"/>
      <c r="EHD170" s="1362"/>
      <c r="EHE170" s="955"/>
      <c r="EHF170" s="963"/>
      <c r="EHG170" s="2242"/>
      <c r="EHH170" s="1360"/>
      <c r="EHI170" s="1360"/>
      <c r="EHJ170" s="1360"/>
      <c r="EHK170" s="1360"/>
      <c r="EHL170" s="1362"/>
      <c r="EHM170" s="955"/>
      <c r="EHN170" s="963"/>
      <c r="EHO170" s="2242"/>
      <c r="EHP170" s="1360"/>
      <c r="EHQ170" s="1360"/>
      <c r="EHR170" s="1360"/>
      <c r="EHS170" s="1360"/>
      <c r="EHT170" s="1362"/>
      <c r="EHU170" s="955"/>
      <c r="EHV170" s="963"/>
      <c r="EHW170" s="2242"/>
      <c r="EHX170" s="1360"/>
      <c r="EHY170" s="1360"/>
      <c r="EHZ170" s="1360"/>
      <c r="EIA170" s="1360"/>
      <c r="EIB170" s="1362"/>
      <c r="EIC170" s="955"/>
      <c r="EID170" s="963"/>
      <c r="EIE170" s="2242"/>
      <c r="EIF170" s="1360"/>
      <c r="EIG170" s="1360"/>
      <c r="EIH170" s="1360"/>
      <c r="EII170" s="1360"/>
      <c r="EIJ170" s="1362"/>
      <c r="EIK170" s="955"/>
      <c r="EIL170" s="963"/>
      <c r="EIM170" s="2242"/>
      <c r="EIN170" s="1360"/>
      <c r="EIO170" s="1360"/>
      <c r="EIP170" s="1360"/>
      <c r="EIQ170" s="1360"/>
      <c r="EIR170" s="1362"/>
      <c r="EIS170" s="955"/>
      <c r="EIT170" s="963"/>
      <c r="EIU170" s="2242"/>
      <c r="EIV170" s="1360"/>
      <c r="EIW170" s="1360"/>
      <c r="EIX170" s="1360"/>
      <c r="EIY170" s="1360"/>
      <c r="EIZ170" s="1362"/>
      <c r="EJA170" s="955"/>
      <c r="EJB170" s="963"/>
      <c r="EJC170" s="2242"/>
      <c r="EJD170" s="1360"/>
      <c r="EJE170" s="1360"/>
      <c r="EJF170" s="1360"/>
      <c r="EJG170" s="1360"/>
      <c r="EJH170" s="1362"/>
      <c r="EJI170" s="955"/>
      <c r="EJJ170" s="963"/>
      <c r="EJK170" s="2242"/>
      <c r="EJL170" s="1360"/>
      <c r="EJM170" s="1360"/>
      <c r="EJN170" s="1360"/>
      <c r="EJO170" s="1360"/>
      <c r="EJP170" s="1362"/>
      <c r="EJQ170" s="955"/>
      <c r="EJR170" s="963"/>
      <c r="EJS170" s="2242"/>
      <c r="EJT170" s="1360"/>
      <c r="EJU170" s="1360"/>
      <c r="EJV170" s="1360"/>
      <c r="EJW170" s="1360"/>
      <c r="EJX170" s="1362"/>
      <c r="EJY170" s="955"/>
      <c r="EJZ170" s="963"/>
      <c r="EKA170" s="2242"/>
      <c r="EKB170" s="1360"/>
      <c r="EKC170" s="1360"/>
      <c r="EKD170" s="1360"/>
      <c r="EKE170" s="1360"/>
      <c r="EKF170" s="1362"/>
      <c r="EKG170" s="955"/>
      <c r="EKH170" s="963"/>
      <c r="EKI170" s="2242"/>
      <c r="EKJ170" s="1360"/>
      <c r="EKK170" s="1360"/>
      <c r="EKL170" s="1360"/>
      <c r="EKM170" s="1360"/>
      <c r="EKN170" s="1362"/>
      <c r="EKO170" s="955"/>
      <c r="EKP170" s="963"/>
      <c r="EKQ170" s="2242"/>
      <c r="EKR170" s="1360"/>
      <c r="EKS170" s="1360"/>
      <c r="EKT170" s="1360"/>
      <c r="EKU170" s="1360"/>
      <c r="EKV170" s="1362"/>
      <c r="EKW170" s="955"/>
      <c r="EKX170" s="963"/>
      <c r="EKY170" s="2242"/>
      <c r="EKZ170" s="1360"/>
      <c r="ELA170" s="1360"/>
      <c r="ELB170" s="1360"/>
      <c r="ELC170" s="1360"/>
      <c r="ELD170" s="1362"/>
      <c r="ELE170" s="955"/>
      <c r="ELF170" s="963"/>
      <c r="ELG170" s="2242"/>
      <c r="ELH170" s="1360"/>
      <c r="ELI170" s="1360"/>
      <c r="ELJ170" s="1360"/>
      <c r="ELK170" s="1360"/>
      <c r="ELL170" s="1362"/>
      <c r="ELM170" s="955"/>
      <c r="ELN170" s="963"/>
      <c r="ELO170" s="2242"/>
      <c r="ELP170" s="1360"/>
      <c r="ELQ170" s="1360"/>
      <c r="ELR170" s="1360"/>
      <c r="ELS170" s="1360"/>
      <c r="ELT170" s="1362"/>
      <c r="ELU170" s="955"/>
      <c r="ELV170" s="963"/>
      <c r="ELW170" s="2242"/>
      <c r="ELX170" s="1360"/>
      <c r="ELY170" s="1360"/>
      <c r="ELZ170" s="1360"/>
      <c r="EMA170" s="1360"/>
      <c r="EMB170" s="1362"/>
      <c r="EMC170" s="955"/>
      <c r="EMD170" s="963"/>
      <c r="EME170" s="2242"/>
      <c r="EMF170" s="1360"/>
      <c r="EMG170" s="1360"/>
      <c r="EMH170" s="1360"/>
      <c r="EMI170" s="1360"/>
      <c r="EMJ170" s="1362"/>
      <c r="EMK170" s="955"/>
      <c r="EML170" s="963"/>
      <c r="EMM170" s="2242"/>
      <c r="EMN170" s="1360"/>
      <c r="EMO170" s="1360"/>
      <c r="EMP170" s="1360"/>
      <c r="EMQ170" s="1360"/>
      <c r="EMR170" s="1362"/>
      <c r="EMS170" s="955"/>
      <c r="EMT170" s="963"/>
      <c r="EMU170" s="2242"/>
      <c r="EMV170" s="1360"/>
      <c r="EMW170" s="1360"/>
      <c r="EMX170" s="1360"/>
      <c r="EMY170" s="1360"/>
      <c r="EMZ170" s="1362"/>
      <c r="ENA170" s="955"/>
      <c r="ENB170" s="963"/>
      <c r="ENC170" s="2242"/>
      <c r="END170" s="1360"/>
      <c r="ENE170" s="1360"/>
      <c r="ENF170" s="1360"/>
      <c r="ENG170" s="1360"/>
      <c r="ENH170" s="1362"/>
      <c r="ENI170" s="955"/>
      <c r="ENJ170" s="963"/>
      <c r="ENK170" s="2242"/>
      <c r="ENL170" s="1360"/>
      <c r="ENM170" s="1360"/>
      <c r="ENN170" s="1360"/>
      <c r="ENO170" s="1360"/>
      <c r="ENP170" s="1362"/>
      <c r="ENQ170" s="955"/>
      <c r="ENR170" s="963"/>
      <c r="ENS170" s="2242"/>
      <c r="ENT170" s="1360"/>
      <c r="ENU170" s="1360"/>
      <c r="ENV170" s="1360"/>
      <c r="ENW170" s="1360"/>
      <c r="ENX170" s="1362"/>
      <c r="ENY170" s="955"/>
      <c r="ENZ170" s="963"/>
      <c r="EOA170" s="2242"/>
      <c r="EOB170" s="1360"/>
      <c r="EOC170" s="1360"/>
      <c r="EOD170" s="1360"/>
      <c r="EOE170" s="1360"/>
      <c r="EOF170" s="1362"/>
      <c r="EOG170" s="955"/>
      <c r="EOH170" s="963"/>
      <c r="EOI170" s="2242"/>
      <c r="EOJ170" s="1360"/>
      <c r="EOK170" s="1360"/>
      <c r="EOL170" s="1360"/>
      <c r="EOM170" s="1360"/>
      <c r="EON170" s="1362"/>
      <c r="EOO170" s="955"/>
      <c r="EOP170" s="963"/>
      <c r="EOQ170" s="2242"/>
      <c r="EOR170" s="1360"/>
      <c r="EOS170" s="1360"/>
      <c r="EOT170" s="1360"/>
      <c r="EOU170" s="1360"/>
      <c r="EOV170" s="1362"/>
      <c r="EOW170" s="955"/>
      <c r="EOX170" s="963"/>
      <c r="EOY170" s="2242"/>
      <c r="EOZ170" s="1360"/>
      <c r="EPA170" s="1360"/>
      <c r="EPB170" s="1360"/>
      <c r="EPC170" s="1360"/>
      <c r="EPD170" s="1362"/>
      <c r="EPE170" s="955"/>
      <c r="EPF170" s="963"/>
      <c r="EPG170" s="2242"/>
      <c r="EPH170" s="1360"/>
      <c r="EPI170" s="1360"/>
      <c r="EPJ170" s="1360"/>
      <c r="EPK170" s="1360"/>
      <c r="EPL170" s="1362"/>
      <c r="EPM170" s="955"/>
      <c r="EPN170" s="963"/>
      <c r="EPO170" s="2242"/>
      <c r="EPP170" s="1360"/>
      <c r="EPQ170" s="1360"/>
      <c r="EPR170" s="1360"/>
      <c r="EPS170" s="1360"/>
      <c r="EPT170" s="1362"/>
      <c r="EPU170" s="955"/>
      <c r="EPV170" s="963"/>
      <c r="EPW170" s="2242"/>
      <c r="EPX170" s="1360"/>
      <c r="EPY170" s="1360"/>
      <c r="EPZ170" s="1360"/>
      <c r="EQA170" s="1360"/>
      <c r="EQB170" s="1362"/>
      <c r="EQC170" s="955"/>
      <c r="EQD170" s="963"/>
      <c r="EQE170" s="2242"/>
      <c r="EQF170" s="1360"/>
      <c r="EQG170" s="1360"/>
      <c r="EQH170" s="1360"/>
      <c r="EQI170" s="1360"/>
      <c r="EQJ170" s="1362"/>
      <c r="EQK170" s="955"/>
      <c r="EQL170" s="963"/>
      <c r="EQM170" s="2242"/>
      <c r="EQN170" s="1360"/>
      <c r="EQO170" s="1360"/>
      <c r="EQP170" s="1360"/>
      <c r="EQQ170" s="1360"/>
      <c r="EQR170" s="1362"/>
      <c r="EQS170" s="955"/>
      <c r="EQT170" s="963"/>
      <c r="EQU170" s="2242"/>
      <c r="EQV170" s="1360"/>
      <c r="EQW170" s="1360"/>
      <c r="EQX170" s="1360"/>
      <c r="EQY170" s="1360"/>
      <c r="EQZ170" s="1362"/>
      <c r="ERA170" s="955"/>
      <c r="ERB170" s="963"/>
      <c r="ERC170" s="2242"/>
      <c r="ERD170" s="1360"/>
      <c r="ERE170" s="1360"/>
      <c r="ERF170" s="1360"/>
      <c r="ERG170" s="1360"/>
      <c r="ERH170" s="1362"/>
      <c r="ERI170" s="955"/>
      <c r="ERJ170" s="963"/>
      <c r="ERK170" s="2242"/>
      <c r="ERL170" s="1360"/>
      <c r="ERM170" s="1360"/>
      <c r="ERN170" s="1360"/>
      <c r="ERO170" s="1360"/>
      <c r="ERP170" s="1362"/>
      <c r="ERQ170" s="955"/>
      <c r="ERR170" s="963"/>
      <c r="ERS170" s="2242"/>
      <c r="ERT170" s="1360"/>
      <c r="ERU170" s="1360"/>
      <c r="ERV170" s="1360"/>
      <c r="ERW170" s="1360"/>
      <c r="ERX170" s="1362"/>
      <c r="ERY170" s="955"/>
      <c r="ERZ170" s="963"/>
      <c r="ESA170" s="2242"/>
      <c r="ESB170" s="1360"/>
      <c r="ESC170" s="1360"/>
      <c r="ESD170" s="1360"/>
      <c r="ESE170" s="1360"/>
      <c r="ESF170" s="1362"/>
      <c r="ESG170" s="955"/>
      <c r="ESH170" s="963"/>
      <c r="ESI170" s="2242"/>
      <c r="ESJ170" s="1360"/>
      <c r="ESK170" s="1360"/>
      <c r="ESL170" s="1360"/>
      <c r="ESM170" s="1360"/>
      <c r="ESN170" s="1362"/>
      <c r="ESO170" s="955"/>
      <c r="ESP170" s="963"/>
      <c r="ESQ170" s="2242"/>
      <c r="ESR170" s="1360"/>
      <c r="ESS170" s="1360"/>
      <c r="EST170" s="1360"/>
      <c r="ESU170" s="1360"/>
      <c r="ESV170" s="1362"/>
      <c r="ESW170" s="955"/>
      <c r="ESX170" s="963"/>
      <c r="ESY170" s="2242"/>
      <c r="ESZ170" s="1360"/>
      <c r="ETA170" s="1360"/>
      <c r="ETB170" s="1360"/>
      <c r="ETC170" s="1360"/>
      <c r="ETD170" s="1362"/>
      <c r="ETE170" s="955"/>
      <c r="ETF170" s="963"/>
      <c r="ETG170" s="2242"/>
      <c r="ETH170" s="1360"/>
      <c r="ETI170" s="1360"/>
      <c r="ETJ170" s="1360"/>
      <c r="ETK170" s="1360"/>
      <c r="ETL170" s="1362"/>
      <c r="ETM170" s="955"/>
      <c r="ETN170" s="963"/>
      <c r="ETO170" s="2242"/>
      <c r="ETP170" s="1360"/>
      <c r="ETQ170" s="1360"/>
      <c r="ETR170" s="1360"/>
      <c r="ETS170" s="1360"/>
      <c r="ETT170" s="1362"/>
      <c r="ETU170" s="955"/>
      <c r="ETV170" s="963"/>
      <c r="ETW170" s="2242"/>
      <c r="ETX170" s="1360"/>
      <c r="ETY170" s="1360"/>
      <c r="ETZ170" s="1360"/>
      <c r="EUA170" s="1360"/>
      <c r="EUB170" s="1362"/>
      <c r="EUC170" s="955"/>
      <c r="EUD170" s="963"/>
      <c r="EUE170" s="2242"/>
      <c r="EUF170" s="1360"/>
      <c r="EUG170" s="1360"/>
      <c r="EUH170" s="1360"/>
      <c r="EUI170" s="1360"/>
      <c r="EUJ170" s="1362"/>
      <c r="EUK170" s="955"/>
      <c r="EUL170" s="963"/>
      <c r="EUM170" s="2242"/>
      <c r="EUN170" s="1360"/>
      <c r="EUO170" s="1360"/>
      <c r="EUP170" s="1360"/>
      <c r="EUQ170" s="1360"/>
      <c r="EUR170" s="1362"/>
      <c r="EUS170" s="955"/>
      <c r="EUT170" s="963"/>
      <c r="EUU170" s="2242"/>
      <c r="EUV170" s="1360"/>
      <c r="EUW170" s="1360"/>
      <c r="EUX170" s="1360"/>
      <c r="EUY170" s="1360"/>
      <c r="EUZ170" s="1362"/>
      <c r="EVA170" s="955"/>
      <c r="EVB170" s="963"/>
      <c r="EVC170" s="2242"/>
      <c r="EVD170" s="1360"/>
      <c r="EVE170" s="1360"/>
      <c r="EVF170" s="1360"/>
      <c r="EVG170" s="1360"/>
      <c r="EVH170" s="1362"/>
      <c r="EVI170" s="955"/>
      <c r="EVJ170" s="963"/>
      <c r="EVK170" s="2242"/>
      <c r="EVL170" s="1360"/>
      <c r="EVM170" s="1360"/>
      <c r="EVN170" s="1360"/>
      <c r="EVO170" s="1360"/>
      <c r="EVP170" s="1362"/>
      <c r="EVQ170" s="955"/>
      <c r="EVR170" s="963"/>
      <c r="EVS170" s="2242"/>
      <c r="EVT170" s="1360"/>
      <c r="EVU170" s="1360"/>
      <c r="EVV170" s="1360"/>
      <c r="EVW170" s="1360"/>
      <c r="EVX170" s="1362"/>
      <c r="EVY170" s="955"/>
      <c r="EVZ170" s="963"/>
      <c r="EWA170" s="2242"/>
      <c r="EWB170" s="1360"/>
      <c r="EWC170" s="1360"/>
      <c r="EWD170" s="1360"/>
      <c r="EWE170" s="1360"/>
      <c r="EWF170" s="1362"/>
      <c r="EWG170" s="955"/>
      <c r="EWH170" s="963"/>
      <c r="EWI170" s="2242"/>
      <c r="EWJ170" s="1360"/>
      <c r="EWK170" s="1360"/>
      <c r="EWL170" s="1360"/>
      <c r="EWM170" s="1360"/>
      <c r="EWN170" s="1362"/>
      <c r="EWO170" s="955"/>
      <c r="EWP170" s="963"/>
      <c r="EWQ170" s="2242"/>
      <c r="EWR170" s="1360"/>
      <c r="EWS170" s="1360"/>
      <c r="EWT170" s="1360"/>
      <c r="EWU170" s="1360"/>
      <c r="EWV170" s="1362"/>
      <c r="EWW170" s="955"/>
      <c r="EWX170" s="963"/>
      <c r="EWY170" s="2242"/>
      <c r="EWZ170" s="1360"/>
      <c r="EXA170" s="1360"/>
      <c r="EXB170" s="1360"/>
      <c r="EXC170" s="1360"/>
      <c r="EXD170" s="1362"/>
      <c r="EXE170" s="955"/>
      <c r="EXF170" s="963"/>
      <c r="EXG170" s="2242"/>
      <c r="EXH170" s="1360"/>
      <c r="EXI170" s="1360"/>
      <c r="EXJ170" s="1360"/>
      <c r="EXK170" s="1360"/>
      <c r="EXL170" s="1362"/>
      <c r="EXM170" s="955"/>
      <c r="EXN170" s="963"/>
      <c r="EXO170" s="2242"/>
      <c r="EXP170" s="1360"/>
      <c r="EXQ170" s="1360"/>
      <c r="EXR170" s="1360"/>
      <c r="EXS170" s="1360"/>
      <c r="EXT170" s="1362"/>
      <c r="EXU170" s="955"/>
      <c r="EXV170" s="963"/>
      <c r="EXW170" s="2242"/>
      <c r="EXX170" s="1360"/>
      <c r="EXY170" s="1360"/>
      <c r="EXZ170" s="1360"/>
      <c r="EYA170" s="1360"/>
      <c r="EYB170" s="1362"/>
      <c r="EYC170" s="955"/>
      <c r="EYD170" s="963"/>
      <c r="EYE170" s="2242"/>
      <c r="EYF170" s="1360"/>
      <c r="EYG170" s="1360"/>
      <c r="EYH170" s="1360"/>
      <c r="EYI170" s="1360"/>
      <c r="EYJ170" s="1362"/>
      <c r="EYK170" s="955"/>
      <c r="EYL170" s="963"/>
      <c r="EYM170" s="2242"/>
      <c r="EYN170" s="1360"/>
      <c r="EYO170" s="1360"/>
      <c r="EYP170" s="1360"/>
      <c r="EYQ170" s="1360"/>
      <c r="EYR170" s="1362"/>
      <c r="EYS170" s="955"/>
      <c r="EYT170" s="963"/>
      <c r="EYU170" s="2242"/>
      <c r="EYV170" s="1360"/>
      <c r="EYW170" s="1360"/>
      <c r="EYX170" s="1360"/>
      <c r="EYY170" s="1360"/>
      <c r="EYZ170" s="1362"/>
      <c r="EZA170" s="955"/>
      <c r="EZB170" s="963"/>
      <c r="EZC170" s="2242"/>
      <c r="EZD170" s="1360"/>
      <c r="EZE170" s="1360"/>
      <c r="EZF170" s="1360"/>
      <c r="EZG170" s="1360"/>
      <c r="EZH170" s="1362"/>
      <c r="EZI170" s="955"/>
      <c r="EZJ170" s="963"/>
      <c r="EZK170" s="2242"/>
      <c r="EZL170" s="1360"/>
      <c r="EZM170" s="1360"/>
      <c r="EZN170" s="1360"/>
      <c r="EZO170" s="1360"/>
      <c r="EZP170" s="1362"/>
      <c r="EZQ170" s="955"/>
      <c r="EZR170" s="963"/>
      <c r="EZS170" s="2242"/>
      <c r="EZT170" s="1360"/>
      <c r="EZU170" s="1360"/>
      <c r="EZV170" s="1360"/>
      <c r="EZW170" s="1360"/>
      <c r="EZX170" s="1362"/>
      <c r="EZY170" s="955"/>
      <c r="EZZ170" s="963"/>
      <c r="FAA170" s="2242"/>
      <c r="FAB170" s="1360"/>
      <c r="FAC170" s="1360"/>
      <c r="FAD170" s="1360"/>
      <c r="FAE170" s="1360"/>
      <c r="FAF170" s="1362"/>
      <c r="FAG170" s="955"/>
      <c r="FAH170" s="963"/>
      <c r="FAI170" s="2242"/>
      <c r="FAJ170" s="1360"/>
      <c r="FAK170" s="1360"/>
      <c r="FAL170" s="1360"/>
      <c r="FAM170" s="1360"/>
      <c r="FAN170" s="1362"/>
      <c r="FAO170" s="955"/>
      <c r="FAP170" s="963"/>
      <c r="FAQ170" s="2242"/>
      <c r="FAR170" s="1360"/>
      <c r="FAS170" s="1360"/>
      <c r="FAT170" s="1360"/>
      <c r="FAU170" s="1360"/>
      <c r="FAV170" s="1362"/>
      <c r="FAW170" s="955"/>
      <c r="FAX170" s="963"/>
      <c r="FAY170" s="2242"/>
      <c r="FAZ170" s="1360"/>
      <c r="FBA170" s="1360"/>
      <c r="FBB170" s="1360"/>
      <c r="FBC170" s="1360"/>
      <c r="FBD170" s="1362"/>
      <c r="FBE170" s="955"/>
      <c r="FBF170" s="963"/>
      <c r="FBG170" s="2242"/>
      <c r="FBH170" s="1360"/>
      <c r="FBI170" s="1360"/>
      <c r="FBJ170" s="1360"/>
      <c r="FBK170" s="1360"/>
      <c r="FBL170" s="1362"/>
      <c r="FBM170" s="955"/>
      <c r="FBN170" s="963"/>
      <c r="FBO170" s="2242"/>
      <c r="FBP170" s="1360"/>
      <c r="FBQ170" s="1360"/>
      <c r="FBR170" s="1360"/>
      <c r="FBS170" s="1360"/>
      <c r="FBT170" s="1362"/>
      <c r="FBU170" s="955"/>
      <c r="FBV170" s="963"/>
      <c r="FBW170" s="2242"/>
      <c r="FBX170" s="1360"/>
      <c r="FBY170" s="1360"/>
      <c r="FBZ170" s="1360"/>
      <c r="FCA170" s="1360"/>
      <c r="FCB170" s="1362"/>
      <c r="FCC170" s="955"/>
      <c r="FCD170" s="963"/>
      <c r="FCE170" s="2242"/>
      <c r="FCF170" s="1360"/>
      <c r="FCG170" s="1360"/>
      <c r="FCH170" s="1360"/>
      <c r="FCI170" s="1360"/>
      <c r="FCJ170" s="1362"/>
      <c r="FCK170" s="955"/>
      <c r="FCL170" s="963"/>
      <c r="FCM170" s="2242"/>
      <c r="FCN170" s="1360"/>
      <c r="FCO170" s="1360"/>
      <c r="FCP170" s="1360"/>
      <c r="FCQ170" s="1360"/>
      <c r="FCR170" s="1362"/>
      <c r="FCS170" s="955"/>
      <c r="FCT170" s="963"/>
      <c r="FCU170" s="2242"/>
      <c r="FCV170" s="1360"/>
      <c r="FCW170" s="1360"/>
      <c r="FCX170" s="1360"/>
      <c r="FCY170" s="1360"/>
      <c r="FCZ170" s="1362"/>
      <c r="FDA170" s="955"/>
      <c r="FDB170" s="963"/>
      <c r="FDC170" s="2242"/>
      <c r="FDD170" s="1360"/>
      <c r="FDE170" s="1360"/>
      <c r="FDF170" s="1360"/>
      <c r="FDG170" s="1360"/>
      <c r="FDH170" s="1362"/>
      <c r="FDI170" s="955"/>
      <c r="FDJ170" s="963"/>
      <c r="FDK170" s="2242"/>
      <c r="FDL170" s="1360"/>
      <c r="FDM170" s="1360"/>
      <c r="FDN170" s="1360"/>
      <c r="FDO170" s="1360"/>
      <c r="FDP170" s="1362"/>
      <c r="FDQ170" s="955"/>
      <c r="FDR170" s="963"/>
      <c r="FDS170" s="2242"/>
      <c r="FDT170" s="1360"/>
      <c r="FDU170" s="1360"/>
      <c r="FDV170" s="1360"/>
      <c r="FDW170" s="1360"/>
      <c r="FDX170" s="1362"/>
      <c r="FDY170" s="955"/>
      <c r="FDZ170" s="963"/>
      <c r="FEA170" s="2242"/>
      <c r="FEB170" s="1360"/>
      <c r="FEC170" s="1360"/>
      <c r="FED170" s="1360"/>
      <c r="FEE170" s="1360"/>
      <c r="FEF170" s="1362"/>
      <c r="FEG170" s="955"/>
      <c r="FEH170" s="963"/>
      <c r="FEI170" s="2242"/>
      <c r="FEJ170" s="1360"/>
      <c r="FEK170" s="1360"/>
      <c r="FEL170" s="1360"/>
      <c r="FEM170" s="1360"/>
      <c r="FEN170" s="1362"/>
      <c r="FEO170" s="955"/>
      <c r="FEP170" s="963"/>
      <c r="FEQ170" s="2242"/>
      <c r="FER170" s="1360"/>
      <c r="FES170" s="1360"/>
      <c r="FET170" s="1360"/>
      <c r="FEU170" s="1360"/>
      <c r="FEV170" s="1362"/>
      <c r="FEW170" s="955"/>
      <c r="FEX170" s="963"/>
      <c r="FEY170" s="2242"/>
      <c r="FEZ170" s="1360"/>
      <c r="FFA170" s="1360"/>
      <c r="FFB170" s="1360"/>
      <c r="FFC170" s="1360"/>
      <c r="FFD170" s="1362"/>
      <c r="FFE170" s="955"/>
      <c r="FFF170" s="963"/>
      <c r="FFG170" s="2242"/>
      <c r="FFH170" s="1360"/>
      <c r="FFI170" s="1360"/>
      <c r="FFJ170" s="1360"/>
      <c r="FFK170" s="1360"/>
      <c r="FFL170" s="1362"/>
      <c r="FFM170" s="955"/>
      <c r="FFN170" s="963"/>
      <c r="FFO170" s="2242"/>
      <c r="FFP170" s="1360"/>
      <c r="FFQ170" s="1360"/>
      <c r="FFR170" s="1360"/>
      <c r="FFS170" s="1360"/>
      <c r="FFT170" s="1362"/>
      <c r="FFU170" s="955"/>
      <c r="FFV170" s="963"/>
      <c r="FFW170" s="2242"/>
      <c r="FFX170" s="1360"/>
      <c r="FFY170" s="1360"/>
      <c r="FFZ170" s="1360"/>
      <c r="FGA170" s="1360"/>
      <c r="FGB170" s="1362"/>
      <c r="FGC170" s="955"/>
      <c r="FGD170" s="963"/>
      <c r="FGE170" s="2242"/>
      <c r="FGF170" s="1360"/>
      <c r="FGG170" s="1360"/>
      <c r="FGH170" s="1360"/>
      <c r="FGI170" s="1360"/>
      <c r="FGJ170" s="1362"/>
      <c r="FGK170" s="955"/>
      <c r="FGL170" s="963"/>
      <c r="FGM170" s="2242"/>
      <c r="FGN170" s="1360"/>
      <c r="FGO170" s="1360"/>
      <c r="FGP170" s="1360"/>
      <c r="FGQ170" s="1360"/>
      <c r="FGR170" s="1362"/>
      <c r="FGS170" s="955"/>
      <c r="FGT170" s="963"/>
      <c r="FGU170" s="2242"/>
      <c r="FGV170" s="1360"/>
      <c r="FGW170" s="1360"/>
      <c r="FGX170" s="1360"/>
      <c r="FGY170" s="1360"/>
      <c r="FGZ170" s="1362"/>
      <c r="FHA170" s="955"/>
      <c r="FHB170" s="963"/>
      <c r="FHC170" s="2242"/>
      <c r="FHD170" s="1360"/>
      <c r="FHE170" s="1360"/>
      <c r="FHF170" s="1360"/>
      <c r="FHG170" s="1360"/>
      <c r="FHH170" s="1362"/>
      <c r="FHI170" s="955"/>
      <c r="FHJ170" s="963"/>
      <c r="FHK170" s="2242"/>
      <c r="FHL170" s="1360"/>
      <c r="FHM170" s="1360"/>
      <c r="FHN170" s="1360"/>
      <c r="FHO170" s="1360"/>
      <c r="FHP170" s="1362"/>
      <c r="FHQ170" s="955"/>
      <c r="FHR170" s="963"/>
      <c r="FHS170" s="2242"/>
      <c r="FHT170" s="1360"/>
      <c r="FHU170" s="1360"/>
      <c r="FHV170" s="1360"/>
      <c r="FHW170" s="1360"/>
      <c r="FHX170" s="1362"/>
      <c r="FHY170" s="955"/>
      <c r="FHZ170" s="963"/>
      <c r="FIA170" s="2242"/>
      <c r="FIB170" s="1360"/>
      <c r="FIC170" s="1360"/>
      <c r="FID170" s="1360"/>
      <c r="FIE170" s="1360"/>
      <c r="FIF170" s="1362"/>
      <c r="FIG170" s="955"/>
      <c r="FIH170" s="963"/>
      <c r="FII170" s="2242"/>
      <c r="FIJ170" s="1360"/>
      <c r="FIK170" s="1360"/>
      <c r="FIL170" s="1360"/>
      <c r="FIM170" s="1360"/>
      <c r="FIN170" s="1362"/>
      <c r="FIO170" s="955"/>
      <c r="FIP170" s="963"/>
      <c r="FIQ170" s="2242"/>
      <c r="FIR170" s="1360"/>
      <c r="FIS170" s="1360"/>
      <c r="FIT170" s="1360"/>
      <c r="FIU170" s="1360"/>
      <c r="FIV170" s="1362"/>
      <c r="FIW170" s="955"/>
      <c r="FIX170" s="963"/>
      <c r="FIY170" s="2242"/>
      <c r="FIZ170" s="1360"/>
      <c r="FJA170" s="1360"/>
      <c r="FJB170" s="1360"/>
      <c r="FJC170" s="1360"/>
      <c r="FJD170" s="1362"/>
      <c r="FJE170" s="955"/>
      <c r="FJF170" s="963"/>
      <c r="FJG170" s="2242"/>
      <c r="FJH170" s="1360"/>
      <c r="FJI170" s="1360"/>
      <c r="FJJ170" s="1360"/>
      <c r="FJK170" s="1360"/>
      <c r="FJL170" s="1362"/>
      <c r="FJM170" s="955"/>
      <c r="FJN170" s="963"/>
      <c r="FJO170" s="2242"/>
      <c r="FJP170" s="1360"/>
      <c r="FJQ170" s="1360"/>
      <c r="FJR170" s="1360"/>
      <c r="FJS170" s="1360"/>
      <c r="FJT170" s="1362"/>
      <c r="FJU170" s="955"/>
      <c r="FJV170" s="963"/>
      <c r="FJW170" s="2242"/>
      <c r="FJX170" s="1360"/>
      <c r="FJY170" s="1360"/>
      <c r="FJZ170" s="1360"/>
      <c r="FKA170" s="1360"/>
      <c r="FKB170" s="1362"/>
      <c r="FKC170" s="955"/>
      <c r="FKD170" s="963"/>
      <c r="FKE170" s="2242"/>
      <c r="FKF170" s="1360"/>
      <c r="FKG170" s="1360"/>
      <c r="FKH170" s="1360"/>
      <c r="FKI170" s="1360"/>
      <c r="FKJ170" s="1362"/>
      <c r="FKK170" s="955"/>
      <c r="FKL170" s="963"/>
      <c r="FKM170" s="2242"/>
      <c r="FKN170" s="1360"/>
      <c r="FKO170" s="1360"/>
      <c r="FKP170" s="1360"/>
      <c r="FKQ170" s="1360"/>
      <c r="FKR170" s="1362"/>
      <c r="FKS170" s="955"/>
      <c r="FKT170" s="963"/>
      <c r="FKU170" s="2242"/>
      <c r="FKV170" s="1360"/>
      <c r="FKW170" s="1360"/>
      <c r="FKX170" s="1360"/>
      <c r="FKY170" s="1360"/>
      <c r="FKZ170" s="1362"/>
      <c r="FLA170" s="955"/>
      <c r="FLB170" s="963"/>
      <c r="FLC170" s="2242"/>
      <c r="FLD170" s="1360"/>
      <c r="FLE170" s="1360"/>
      <c r="FLF170" s="1360"/>
      <c r="FLG170" s="1360"/>
      <c r="FLH170" s="1362"/>
      <c r="FLI170" s="955"/>
      <c r="FLJ170" s="963"/>
      <c r="FLK170" s="2242"/>
      <c r="FLL170" s="1360"/>
      <c r="FLM170" s="1360"/>
      <c r="FLN170" s="1360"/>
      <c r="FLO170" s="1360"/>
      <c r="FLP170" s="1362"/>
      <c r="FLQ170" s="955"/>
      <c r="FLR170" s="963"/>
      <c r="FLS170" s="2242"/>
      <c r="FLT170" s="1360"/>
      <c r="FLU170" s="1360"/>
      <c r="FLV170" s="1360"/>
      <c r="FLW170" s="1360"/>
      <c r="FLX170" s="1362"/>
      <c r="FLY170" s="955"/>
      <c r="FLZ170" s="963"/>
      <c r="FMA170" s="2242"/>
      <c r="FMB170" s="1360"/>
      <c r="FMC170" s="1360"/>
      <c r="FMD170" s="1360"/>
      <c r="FME170" s="1360"/>
      <c r="FMF170" s="1362"/>
      <c r="FMG170" s="955"/>
      <c r="FMH170" s="963"/>
      <c r="FMI170" s="2242"/>
      <c r="FMJ170" s="1360"/>
      <c r="FMK170" s="1360"/>
      <c r="FML170" s="1360"/>
      <c r="FMM170" s="1360"/>
      <c r="FMN170" s="1362"/>
      <c r="FMO170" s="955"/>
      <c r="FMP170" s="963"/>
      <c r="FMQ170" s="2242"/>
      <c r="FMR170" s="1360"/>
      <c r="FMS170" s="1360"/>
      <c r="FMT170" s="1360"/>
      <c r="FMU170" s="1360"/>
      <c r="FMV170" s="1362"/>
      <c r="FMW170" s="955"/>
      <c r="FMX170" s="963"/>
      <c r="FMY170" s="2242"/>
      <c r="FMZ170" s="1360"/>
      <c r="FNA170" s="1360"/>
      <c r="FNB170" s="1360"/>
      <c r="FNC170" s="1360"/>
      <c r="FND170" s="1362"/>
      <c r="FNE170" s="955"/>
      <c r="FNF170" s="963"/>
      <c r="FNG170" s="2242"/>
      <c r="FNH170" s="1360"/>
      <c r="FNI170" s="1360"/>
      <c r="FNJ170" s="1360"/>
      <c r="FNK170" s="1360"/>
      <c r="FNL170" s="1362"/>
      <c r="FNM170" s="955"/>
      <c r="FNN170" s="963"/>
      <c r="FNO170" s="2242"/>
      <c r="FNP170" s="1360"/>
      <c r="FNQ170" s="1360"/>
      <c r="FNR170" s="1360"/>
      <c r="FNS170" s="1360"/>
      <c r="FNT170" s="1362"/>
      <c r="FNU170" s="955"/>
      <c r="FNV170" s="963"/>
      <c r="FNW170" s="2242"/>
      <c r="FNX170" s="1360"/>
      <c r="FNY170" s="1360"/>
      <c r="FNZ170" s="1360"/>
      <c r="FOA170" s="1360"/>
      <c r="FOB170" s="1362"/>
      <c r="FOC170" s="955"/>
      <c r="FOD170" s="963"/>
      <c r="FOE170" s="2242"/>
      <c r="FOF170" s="1360"/>
      <c r="FOG170" s="1360"/>
      <c r="FOH170" s="1360"/>
      <c r="FOI170" s="1360"/>
      <c r="FOJ170" s="1362"/>
      <c r="FOK170" s="955"/>
      <c r="FOL170" s="963"/>
      <c r="FOM170" s="2242"/>
      <c r="FON170" s="1360"/>
      <c r="FOO170" s="1360"/>
      <c r="FOP170" s="1360"/>
      <c r="FOQ170" s="1360"/>
      <c r="FOR170" s="1362"/>
      <c r="FOS170" s="955"/>
      <c r="FOT170" s="963"/>
      <c r="FOU170" s="2242"/>
      <c r="FOV170" s="1360"/>
      <c r="FOW170" s="1360"/>
      <c r="FOX170" s="1360"/>
      <c r="FOY170" s="1360"/>
      <c r="FOZ170" s="1362"/>
      <c r="FPA170" s="955"/>
      <c r="FPB170" s="963"/>
      <c r="FPC170" s="2242"/>
      <c r="FPD170" s="1360"/>
      <c r="FPE170" s="1360"/>
      <c r="FPF170" s="1360"/>
      <c r="FPG170" s="1360"/>
      <c r="FPH170" s="1362"/>
      <c r="FPI170" s="955"/>
      <c r="FPJ170" s="963"/>
      <c r="FPK170" s="2242"/>
      <c r="FPL170" s="1360"/>
      <c r="FPM170" s="1360"/>
      <c r="FPN170" s="1360"/>
      <c r="FPO170" s="1360"/>
      <c r="FPP170" s="1362"/>
      <c r="FPQ170" s="955"/>
      <c r="FPR170" s="963"/>
      <c r="FPS170" s="2242"/>
      <c r="FPT170" s="1360"/>
      <c r="FPU170" s="1360"/>
      <c r="FPV170" s="1360"/>
      <c r="FPW170" s="1360"/>
      <c r="FPX170" s="1362"/>
      <c r="FPY170" s="955"/>
      <c r="FPZ170" s="963"/>
      <c r="FQA170" s="2242"/>
      <c r="FQB170" s="1360"/>
      <c r="FQC170" s="1360"/>
      <c r="FQD170" s="1360"/>
      <c r="FQE170" s="1360"/>
      <c r="FQF170" s="1362"/>
      <c r="FQG170" s="955"/>
      <c r="FQH170" s="963"/>
      <c r="FQI170" s="2242"/>
      <c r="FQJ170" s="1360"/>
      <c r="FQK170" s="1360"/>
      <c r="FQL170" s="1360"/>
      <c r="FQM170" s="1360"/>
      <c r="FQN170" s="1362"/>
      <c r="FQO170" s="955"/>
      <c r="FQP170" s="963"/>
      <c r="FQQ170" s="2242"/>
      <c r="FQR170" s="1360"/>
      <c r="FQS170" s="1360"/>
      <c r="FQT170" s="1360"/>
      <c r="FQU170" s="1360"/>
      <c r="FQV170" s="1362"/>
      <c r="FQW170" s="955"/>
      <c r="FQX170" s="963"/>
      <c r="FQY170" s="2242"/>
      <c r="FQZ170" s="1360"/>
      <c r="FRA170" s="1360"/>
      <c r="FRB170" s="1360"/>
      <c r="FRC170" s="1360"/>
      <c r="FRD170" s="1362"/>
      <c r="FRE170" s="955"/>
      <c r="FRF170" s="963"/>
      <c r="FRG170" s="2242"/>
      <c r="FRH170" s="1360"/>
      <c r="FRI170" s="1360"/>
      <c r="FRJ170" s="1360"/>
      <c r="FRK170" s="1360"/>
      <c r="FRL170" s="1362"/>
      <c r="FRM170" s="955"/>
      <c r="FRN170" s="963"/>
      <c r="FRO170" s="2242"/>
      <c r="FRP170" s="1360"/>
      <c r="FRQ170" s="1360"/>
      <c r="FRR170" s="1360"/>
      <c r="FRS170" s="1360"/>
      <c r="FRT170" s="1362"/>
      <c r="FRU170" s="955"/>
      <c r="FRV170" s="963"/>
      <c r="FRW170" s="2242"/>
      <c r="FRX170" s="1360"/>
      <c r="FRY170" s="1360"/>
      <c r="FRZ170" s="1360"/>
      <c r="FSA170" s="1360"/>
      <c r="FSB170" s="1362"/>
      <c r="FSC170" s="955"/>
      <c r="FSD170" s="963"/>
      <c r="FSE170" s="2242"/>
      <c r="FSF170" s="1360"/>
      <c r="FSG170" s="1360"/>
      <c r="FSH170" s="1360"/>
      <c r="FSI170" s="1360"/>
      <c r="FSJ170" s="1362"/>
      <c r="FSK170" s="955"/>
      <c r="FSL170" s="963"/>
      <c r="FSM170" s="2242"/>
      <c r="FSN170" s="1360"/>
      <c r="FSO170" s="1360"/>
      <c r="FSP170" s="1360"/>
      <c r="FSQ170" s="1360"/>
      <c r="FSR170" s="1362"/>
      <c r="FSS170" s="955"/>
      <c r="FST170" s="963"/>
      <c r="FSU170" s="2242"/>
      <c r="FSV170" s="1360"/>
      <c r="FSW170" s="1360"/>
      <c r="FSX170" s="1360"/>
      <c r="FSY170" s="1360"/>
      <c r="FSZ170" s="1362"/>
      <c r="FTA170" s="955"/>
      <c r="FTB170" s="963"/>
      <c r="FTC170" s="2242"/>
      <c r="FTD170" s="1360"/>
      <c r="FTE170" s="1360"/>
      <c r="FTF170" s="1360"/>
      <c r="FTG170" s="1360"/>
      <c r="FTH170" s="1362"/>
      <c r="FTI170" s="955"/>
      <c r="FTJ170" s="963"/>
      <c r="FTK170" s="2242"/>
      <c r="FTL170" s="1360"/>
      <c r="FTM170" s="1360"/>
      <c r="FTN170" s="1360"/>
      <c r="FTO170" s="1360"/>
      <c r="FTP170" s="1362"/>
      <c r="FTQ170" s="955"/>
      <c r="FTR170" s="963"/>
      <c r="FTS170" s="2242"/>
      <c r="FTT170" s="1360"/>
      <c r="FTU170" s="1360"/>
      <c r="FTV170" s="1360"/>
      <c r="FTW170" s="1360"/>
      <c r="FTX170" s="1362"/>
      <c r="FTY170" s="955"/>
      <c r="FTZ170" s="963"/>
      <c r="FUA170" s="2242"/>
      <c r="FUB170" s="1360"/>
      <c r="FUC170" s="1360"/>
      <c r="FUD170" s="1360"/>
      <c r="FUE170" s="1360"/>
      <c r="FUF170" s="1362"/>
      <c r="FUG170" s="955"/>
      <c r="FUH170" s="963"/>
      <c r="FUI170" s="2242"/>
      <c r="FUJ170" s="1360"/>
      <c r="FUK170" s="1360"/>
      <c r="FUL170" s="1360"/>
      <c r="FUM170" s="1360"/>
      <c r="FUN170" s="1362"/>
      <c r="FUO170" s="955"/>
      <c r="FUP170" s="963"/>
      <c r="FUQ170" s="2242"/>
      <c r="FUR170" s="1360"/>
      <c r="FUS170" s="1360"/>
      <c r="FUT170" s="1360"/>
      <c r="FUU170" s="1360"/>
      <c r="FUV170" s="1362"/>
      <c r="FUW170" s="955"/>
      <c r="FUX170" s="963"/>
      <c r="FUY170" s="2242"/>
      <c r="FUZ170" s="1360"/>
      <c r="FVA170" s="1360"/>
      <c r="FVB170" s="1360"/>
      <c r="FVC170" s="1360"/>
      <c r="FVD170" s="1362"/>
      <c r="FVE170" s="955"/>
      <c r="FVF170" s="963"/>
      <c r="FVG170" s="2242"/>
      <c r="FVH170" s="1360"/>
      <c r="FVI170" s="1360"/>
      <c r="FVJ170" s="1360"/>
      <c r="FVK170" s="1360"/>
      <c r="FVL170" s="1362"/>
      <c r="FVM170" s="955"/>
      <c r="FVN170" s="963"/>
      <c r="FVO170" s="2242"/>
      <c r="FVP170" s="1360"/>
      <c r="FVQ170" s="1360"/>
      <c r="FVR170" s="1360"/>
      <c r="FVS170" s="1360"/>
      <c r="FVT170" s="1362"/>
      <c r="FVU170" s="955"/>
      <c r="FVV170" s="963"/>
      <c r="FVW170" s="2242"/>
      <c r="FVX170" s="1360"/>
      <c r="FVY170" s="1360"/>
      <c r="FVZ170" s="1360"/>
      <c r="FWA170" s="1360"/>
      <c r="FWB170" s="1362"/>
      <c r="FWC170" s="955"/>
      <c r="FWD170" s="963"/>
      <c r="FWE170" s="2242"/>
      <c r="FWF170" s="1360"/>
      <c r="FWG170" s="1360"/>
      <c r="FWH170" s="1360"/>
      <c r="FWI170" s="1360"/>
      <c r="FWJ170" s="1362"/>
      <c r="FWK170" s="955"/>
      <c r="FWL170" s="963"/>
      <c r="FWM170" s="2242"/>
      <c r="FWN170" s="1360"/>
      <c r="FWO170" s="1360"/>
      <c r="FWP170" s="1360"/>
      <c r="FWQ170" s="1360"/>
      <c r="FWR170" s="1362"/>
      <c r="FWS170" s="955"/>
      <c r="FWT170" s="963"/>
      <c r="FWU170" s="2242"/>
      <c r="FWV170" s="1360"/>
      <c r="FWW170" s="1360"/>
      <c r="FWX170" s="1360"/>
      <c r="FWY170" s="1360"/>
      <c r="FWZ170" s="1362"/>
      <c r="FXA170" s="955"/>
      <c r="FXB170" s="963"/>
      <c r="FXC170" s="2242"/>
      <c r="FXD170" s="1360"/>
      <c r="FXE170" s="1360"/>
      <c r="FXF170" s="1360"/>
      <c r="FXG170" s="1360"/>
      <c r="FXH170" s="1362"/>
      <c r="FXI170" s="955"/>
      <c r="FXJ170" s="963"/>
      <c r="FXK170" s="2242"/>
      <c r="FXL170" s="1360"/>
      <c r="FXM170" s="1360"/>
      <c r="FXN170" s="1360"/>
      <c r="FXO170" s="1360"/>
      <c r="FXP170" s="1362"/>
      <c r="FXQ170" s="955"/>
      <c r="FXR170" s="963"/>
      <c r="FXS170" s="2242"/>
      <c r="FXT170" s="1360"/>
      <c r="FXU170" s="1360"/>
      <c r="FXV170" s="1360"/>
      <c r="FXW170" s="1360"/>
      <c r="FXX170" s="1362"/>
      <c r="FXY170" s="955"/>
      <c r="FXZ170" s="963"/>
      <c r="FYA170" s="2242"/>
      <c r="FYB170" s="1360"/>
      <c r="FYC170" s="1360"/>
      <c r="FYD170" s="1360"/>
      <c r="FYE170" s="1360"/>
      <c r="FYF170" s="1362"/>
      <c r="FYG170" s="955"/>
      <c r="FYH170" s="963"/>
      <c r="FYI170" s="2242"/>
      <c r="FYJ170" s="1360"/>
      <c r="FYK170" s="1360"/>
      <c r="FYL170" s="1360"/>
      <c r="FYM170" s="1360"/>
      <c r="FYN170" s="1362"/>
      <c r="FYO170" s="955"/>
      <c r="FYP170" s="963"/>
      <c r="FYQ170" s="2242"/>
      <c r="FYR170" s="1360"/>
      <c r="FYS170" s="1360"/>
      <c r="FYT170" s="1360"/>
      <c r="FYU170" s="1360"/>
      <c r="FYV170" s="1362"/>
      <c r="FYW170" s="955"/>
      <c r="FYX170" s="963"/>
      <c r="FYY170" s="2242"/>
      <c r="FYZ170" s="1360"/>
      <c r="FZA170" s="1360"/>
      <c r="FZB170" s="1360"/>
      <c r="FZC170" s="1360"/>
      <c r="FZD170" s="1362"/>
      <c r="FZE170" s="955"/>
      <c r="FZF170" s="963"/>
      <c r="FZG170" s="2242"/>
      <c r="FZH170" s="1360"/>
      <c r="FZI170" s="1360"/>
      <c r="FZJ170" s="1360"/>
      <c r="FZK170" s="1360"/>
      <c r="FZL170" s="1362"/>
      <c r="FZM170" s="955"/>
      <c r="FZN170" s="963"/>
      <c r="FZO170" s="2242"/>
      <c r="FZP170" s="1360"/>
      <c r="FZQ170" s="1360"/>
      <c r="FZR170" s="1360"/>
      <c r="FZS170" s="1360"/>
      <c r="FZT170" s="1362"/>
      <c r="FZU170" s="955"/>
      <c r="FZV170" s="963"/>
      <c r="FZW170" s="2242"/>
      <c r="FZX170" s="1360"/>
      <c r="FZY170" s="1360"/>
      <c r="FZZ170" s="1360"/>
      <c r="GAA170" s="1360"/>
      <c r="GAB170" s="1362"/>
      <c r="GAC170" s="955"/>
      <c r="GAD170" s="963"/>
      <c r="GAE170" s="2242"/>
      <c r="GAF170" s="1360"/>
      <c r="GAG170" s="1360"/>
      <c r="GAH170" s="1360"/>
      <c r="GAI170" s="1360"/>
      <c r="GAJ170" s="1362"/>
      <c r="GAK170" s="955"/>
      <c r="GAL170" s="963"/>
      <c r="GAM170" s="2242"/>
      <c r="GAN170" s="1360"/>
      <c r="GAO170" s="1360"/>
      <c r="GAP170" s="1360"/>
      <c r="GAQ170" s="1360"/>
      <c r="GAR170" s="1362"/>
      <c r="GAS170" s="955"/>
      <c r="GAT170" s="963"/>
      <c r="GAU170" s="2242"/>
      <c r="GAV170" s="1360"/>
      <c r="GAW170" s="1360"/>
      <c r="GAX170" s="1360"/>
      <c r="GAY170" s="1360"/>
      <c r="GAZ170" s="1362"/>
      <c r="GBA170" s="955"/>
      <c r="GBB170" s="963"/>
      <c r="GBC170" s="2242"/>
      <c r="GBD170" s="1360"/>
      <c r="GBE170" s="1360"/>
      <c r="GBF170" s="1360"/>
      <c r="GBG170" s="1360"/>
      <c r="GBH170" s="1362"/>
      <c r="GBI170" s="955"/>
      <c r="GBJ170" s="963"/>
      <c r="GBK170" s="2242"/>
      <c r="GBL170" s="1360"/>
      <c r="GBM170" s="1360"/>
      <c r="GBN170" s="1360"/>
      <c r="GBO170" s="1360"/>
      <c r="GBP170" s="1362"/>
      <c r="GBQ170" s="955"/>
      <c r="GBR170" s="963"/>
      <c r="GBS170" s="2242"/>
      <c r="GBT170" s="1360"/>
      <c r="GBU170" s="1360"/>
      <c r="GBV170" s="1360"/>
      <c r="GBW170" s="1360"/>
      <c r="GBX170" s="1362"/>
      <c r="GBY170" s="955"/>
      <c r="GBZ170" s="963"/>
      <c r="GCA170" s="2242"/>
      <c r="GCB170" s="1360"/>
      <c r="GCC170" s="1360"/>
      <c r="GCD170" s="1360"/>
      <c r="GCE170" s="1360"/>
      <c r="GCF170" s="1362"/>
      <c r="GCG170" s="955"/>
      <c r="GCH170" s="963"/>
      <c r="GCI170" s="2242"/>
      <c r="GCJ170" s="1360"/>
      <c r="GCK170" s="1360"/>
      <c r="GCL170" s="1360"/>
      <c r="GCM170" s="1360"/>
      <c r="GCN170" s="1362"/>
      <c r="GCO170" s="955"/>
      <c r="GCP170" s="963"/>
      <c r="GCQ170" s="2242"/>
      <c r="GCR170" s="1360"/>
      <c r="GCS170" s="1360"/>
      <c r="GCT170" s="1360"/>
      <c r="GCU170" s="1360"/>
      <c r="GCV170" s="1362"/>
      <c r="GCW170" s="955"/>
      <c r="GCX170" s="963"/>
      <c r="GCY170" s="2242"/>
      <c r="GCZ170" s="1360"/>
      <c r="GDA170" s="1360"/>
      <c r="GDB170" s="1360"/>
      <c r="GDC170" s="1360"/>
      <c r="GDD170" s="1362"/>
      <c r="GDE170" s="955"/>
      <c r="GDF170" s="963"/>
      <c r="GDG170" s="2242"/>
      <c r="GDH170" s="1360"/>
      <c r="GDI170" s="1360"/>
      <c r="GDJ170" s="1360"/>
      <c r="GDK170" s="1360"/>
      <c r="GDL170" s="1362"/>
      <c r="GDM170" s="955"/>
      <c r="GDN170" s="963"/>
      <c r="GDO170" s="2242"/>
      <c r="GDP170" s="1360"/>
      <c r="GDQ170" s="1360"/>
      <c r="GDR170" s="1360"/>
      <c r="GDS170" s="1360"/>
      <c r="GDT170" s="1362"/>
      <c r="GDU170" s="955"/>
      <c r="GDV170" s="963"/>
      <c r="GDW170" s="2242"/>
      <c r="GDX170" s="1360"/>
      <c r="GDY170" s="1360"/>
      <c r="GDZ170" s="1360"/>
      <c r="GEA170" s="1360"/>
      <c r="GEB170" s="1362"/>
      <c r="GEC170" s="955"/>
      <c r="GED170" s="963"/>
      <c r="GEE170" s="2242"/>
      <c r="GEF170" s="1360"/>
      <c r="GEG170" s="1360"/>
      <c r="GEH170" s="1360"/>
      <c r="GEI170" s="1360"/>
      <c r="GEJ170" s="1362"/>
      <c r="GEK170" s="955"/>
      <c r="GEL170" s="963"/>
      <c r="GEM170" s="2242"/>
      <c r="GEN170" s="1360"/>
      <c r="GEO170" s="1360"/>
      <c r="GEP170" s="1360"/>
      <c r="GEQ170" s="1360"/>
      <c r="GER170" s="1362"/>
      <c r="GES170" s="955"/>
      <c r="GET170" s="963"/>
      <c r="GEU170" s="2242"/>
      <c r="GEV170" s="1360"/>
      <c r="GEW170" s="1360"/>
      <c r="GEX170" s="1360"/>
      <c r="GEY170" s="1360"/>
      <c r="GEZ170" s="1362"/>
      <c r="GFA170" s="955"/>
      <c r="GFB170" s="963"/>
      <c r="GFC170" s="2242"/>
      <c r="GFD170" s="1360"/>
      <c r="GFE170" s="1360"/>
      <c r="GFF170" s="1360"/>
      <c r="GFG170" s="1360"/>
      <c r="GFH170" s="1362"/>
      <c r="GFI170" s="955"/>
      <c r="GFJ170" s="963"/>
      <c r="GFK170" s="2242"/>
      <c r="GFL170" s="1360"/>
      <c r="GFM170" s="1360"/>
      <c r="GFN170" s="1360"/>
      <c r="GFO170" s="1360"/>
      <c r="GFP170" s="1362"/>
      <c r="GFQ170" s="955"/>
      <c r="GFR170" s="963"/>
      <c r="GFS170" s="2242"/>
      <c r="GFT170" s="1360"/>
      <c r="GFU170" s="1360"/>
      <c r="GFV170" s="1360"/>
      <c r="GFW170" s="1360"/>
      <c r="GFX170" s="1362"/>
      <c r="GFY170" s="955"/>
      <c r="GFZ170" s="963"/>
      <c r="GGA170" s="2242"/>
      <c r="GGB170" s="1360"/>
      <c r="GGC170" s="1360"/>
      <c r="GGD170" s="1360"/>
      <c r="GGE170" s="1360"/>
      <c r="GGF170" s="1362"/>
      <c r="GGG170" s="955"/>
      <c r="GGH170" s="963"/>
      <c r="GGI170" s="2242"/>
      <c r="GGJ170" s="1360"/>
      <c r="GGK170" s="1360"/>
      <c r="GGL170" s="1360"/>
      <c r="GGM170" s="1360"/>
      <c r="GGN170" s="1362"/>
      <c r="GGO170" s="955"/>
      <c r="GGP170" s="963"/>
      <c r="GGQ170" s="2242"/>
      <c r="GGR170" s="1360"/>
      <c r="GGS170" s="1360"/>
      <c r="GGT170" s="1360"/>
      <c r="GGU170" s="1360"/>
      <c r="GGV170" s="1362"/>
      <c r="GGW170" s="955"/>
      <c r="GGX170" s="963"/>
      <c r="GGY170" s="2242"/>
      <c r="GGZ170" s="1360"/>
      <c r="GHA170" s="1360"/>
      <c r="GHB170" s="1360"/>
      <c r="GHC170" s="1360"/>
      <c r="GHD170" s="1362"/>
      <c r="GHE170" s="955"/>
      <c r="GHF170" s="963"/>
      <c r="GHG170" s="2242"/>
      <c r="GHH170" s="1360"/>
      <c r="GHI170" s="1360"/>
      <c r="GHJ170" s="1360"/>
      <c r="GHK170" s="1360"/>
      <c r="GHL170" s="1362"/>
      <c r="GHM170" s="955"/>
      <c r="GHN170" s="963"/>
      <c r="GHO170" s="2242"/>
      <c r="GHP170" s="1360"/>
      <c r="GHQ170" s="1360"/>
      <c r="GHR170" s="1360"/>
      <c r="GHS170" s="1360"/>
      <c r="GHT170" s="1362"/>
      <c r="GHU170" s="955"/>
      <c r="GHV170" s="963"/>
      <c r="GHW170" s="2242"/>
      <c r="GHX170" s="1360"/>
      <c r="GHY170" s="1360"/>
      <c r="GHZ170" s="1360"/>
      <c r="GIA170" s="1360"/>
      <c r="GIB170" s="1362"/>
      <c r="GIC170" s="955"/>
      <c r="GID170" s="963"/>
      <c r="GIE170" s="2242"/>
      <c r="GIF170" s="1360"/>
      <c r="GIG170" s="1360"/>
      <c r="GIH170" s="1360"/>
      <c r="GII170" s="1360"/>
      <c r="GIJ170" s="1362"/>
      <c r="GIK170" s="955"/>
      <c r="GIL170" s="963"/>
      <c r="GIM170" s="2242"/>
      <c r="GIN170" s="1360"/>
      <c r="GIO170" s="1360"/>
      <c r="GIP170" s="1360"/>
      <c r="GIQ170" s="1360"/>
      <c r="GIR170" s="1362"/>
      <c r="GIS170" s="955"/>
      <c r="GIT170" s="963"/>
      <c r="GIU170" s="2242"/>
      <c r="GIV170" s="1360"/>
      <c r="GIW170" s="1360"/>
      <c r="GIX170" s="1360"/>
      <c r="GIY170" s="1360"/>
      <c r="GIZ170" s="1362"/>
      <c r="GJA170" s="955"/>
      <c r="GJB170" s="963"/>
      <c r="GJC170" s="2242"/>
      <c r="GJD170" s="1360"/>
      <c r="GJE170" s="1360"/>
      <c r="GJF170" s="1360"/>
      <c r="GJG170" s="1360"/>
      <c r="GJH170" s="1362"/>
      <c r="GJI170" s="955"/>
      <c r="GJJ170" s="963"/>
      <c r="GJK170" s="2242"/>
      <c r="GJL170" s="1360"/>
      <c r="GJM170" s="1360"/>
      <c r="GJN170" s="1360"/>
      <c r="GJO170" s="1360"/>
      <c r="GJP170" s="1362"/>
      <c r="GJQ170" s="955"/>
      <c r="GJR170" s="963"/>
      <c r="GJS170" s="2242"/>
      <c r="GJT170" s="1360"/>
      <c r="GJU170" s="1360"/>
      <c r="GJV170" s="1360"/>
      <c r="GJW170" s="1360"/>
      <c r="GJX170" s="1362"/>
      <c r="GJY170" s="955"/>
      <c r="GJZ170" s="963"/>
      <c r="GKA170" s="2242"/>
      <c r="GKB170" s="1360"/>
      <c r="GKC170" s="1360"/>
      <c r="GKD170" s="1360"/>
      <c r="GKE170" s="1360"/>
      <c r="GKF170" s="1362"/>
      <c r="GKG170" s="955"/>
      <c r="GKH170" s="963"/>
      <c r="GKI170" s="2242"/>
      <c r="GKJ170" s="1360"/>
      <c r="GKK170" s="1360"/>
      <c r="GKL170" s="1360"/>
      <c r="GKM170" s="1360"/>
      <c r="GKN170" s="1362"/>
      <c r="GKO170" s="955"/>
      <c r="GKP170" s="963"/>
      <c r="GKQ170" s="2242"/>
      <c r="GKR170" s="1360"/>
      <c r="GKS170" s="1360"/>
      <c r="GKT170" s="1360"/>
      <c r="GKU170" s="1360"/>
      <c r="GKV170" s="1362"/>
      <c r="GKW170" s="955"/>
      <c r="GKX170" s="963"/>
      <c r="GKY170" s="2242"/>
      <c r="GKZ170" s="1360"/>
      <c r="GLA170" s="1360"/>
      <c r="GLB170" s="1360"/>
      <c r="GLC170" s="1360"/>
      <c r="GLD170" s="1362"/>
      <c r="GLE170" s="955"/>
      <c r="GLF170" s="963"/>
      <c r="GLG170" s="2242"/>
      <c r="GLH170" s="1360"/>
      <c r="GLI170" s="1360"/>
      <c r="GLJ170" s="1360"/>
      <c r="GLK170" s="1360"/>
      <c r="GLL170" s="1362"/>
      <c r="GLM170" s="955"/>
      <c r="GLN170" s="963"/>
      <c r="GLO170" s="2242"/>
      <c r="GLP170" s="1360"/>
      <c r="GLQ170" s="1360"/>
      <c r="GLR170" s="1360"/>
      <c r="GLS170" s="1360"/>
      <c r="GLT170" s="1362"/>
      <c r="GLU170" s="955"/>
      <c r="GLV170" s="963"/>
      <c r="GLW170" s="2242"/>
      <c r="GLX170" s="1360"/>
      <c r="GLY170" s="1360"/>
      <c r="GLZ170" s="1360"/>
      <c r="GMA170" s="1360"/>
      <c r="GMB170" s="1362"/>
      <c r="GMC170" s="955"/>
      <c r="GMD170" s="963"/>
      <c r="GME170" s="2242"/>
      <c r="GMF170" s="1360"/>
      <c r="GMG170" s="1360"/>
      <c r="GMH170" s="1360"/>
      <c r="GMI170" s="1360"/>
      <c r="GMJ170" s="1362"/>
      <c r="GMK170" s="955"/>
      <c r="GML170" s="963"/>
      <c r="GMM170" s="2242"/>
      <c r="GMN170" s="1360"/>
      <c r="GMO170" s="1360"/>
      <c r="GMP170" s="1360"/>
      <c r="GMQ170" s="1360"/>
      <c r="GMR170" s="1362"/>
      <c r="GMS170" s="955"/>
      <c r="GMT170" s="963"/>
      <c r="GMU170" s="2242"/>
      <c r="GMV170" s="1360"/>
      <c r="GMW170" s="1360"/>
      <c r="GMX170" s="1360"/>
      <c r="GMY170" s="1360"/>
      <c r="GMZ170" s="1362"/>
      <c r="GNA170" s="955"/>
      <c r="GNB170" s="963"/>
      <c r="GNC170" s="2242"/>
      <c r="GND170" s="1360"/>
      <c r="GNE170" s="1360"/>
      <c r="GNF170" s="1360"/>
      <c r="GNG170" s="1360"/>
      <c r="GNH170" s="1362"/>
      <c r="GNI170" s="955"/>
      <c r="GNJ170" s="963"/>
      <c r="GNK170" s="2242"/>
      <c r="GNL170" s="1360"/>
      <c r="GNM170" s="1360"/>
      <c r="GNN170" s="1360"/>
      <c r="GNO170" s="1360"/>
      <c r="GNP170" s="1362"/>
      <c r="GNQ170" s="955"/>
      <c r="GNR170" s="963"/>
      <c r="GNS170" s="2242"/>
      <c r="GNT170" s="1360"/>
      <c r="GNU170" s="1360"/>
      <c r="GNV170" s="1360"/>
      <c r="GNW170" s="1360"/>
      <c r="GNX170" s="1362"/>
      <c r="GNY170" s="955"/>
      <c r="GNZ170" s="963"/>
      <c r="GOA170" s="2242"/>
      <c r="GOB170" s="1360"/>
      <c r="GOC170" s="1360"/>
      <c r="GOD170" s="1360"/>
      <c r="GOE170" s="1360"/>
      <c r="GOF170" s="1362"/>
      <c r="GOG170" s="955"/>
      <c r="GOH170" s="963"/>
      <c r="GOI170" s="2242"/>
      <c r="GOJ170" s="1360"/>
      <c r="GOK170" s="1360"/>
      <c r="GOL170" s="1360"/>
      <c r="GOM170" s="1360"/>
      <c r="GON170" s="1362"/>
      <c r="GOO170" s="955"/>
      <c r="GOP170" s="963"/>
      <c r="GOQ170" s="2242"/>
      <c r="GOR170" s="1360"/>
      <c r="GOS170" s="1360"/>
      <c r="GOT170" s="1360"/>
      <c r="GOU170" s="1360"/>
      <c r="GOV170" s="1362"/>
      <c r="GOW170" s="955"/>
      <c r="GOX170" s="963"/>
      <c r="GOY170" s="2242"/>
      <c r="GOZ170" s="1360"/>
      <c r="GPA170" s="1360"/>
      <c r="GPB170" s="1360"/>
      <c r="GPC170" s="1360"/>
      <c r="GPD170" s="1362"/>
      <c r="GPE170" s="955"/>
      <c r="GPF170" s="963"/>
      <c r="GPG170" s="2242"/>
      <c r="GPH170" s="1360"/>
      <c r="GPI170" s="1360"/>
      <c r="GPJ170" s="1360"/>
      <c r="GPK170" s="1360"/>
      <c r="GPL170" s="1362"/>
      <c r="GPM170" s="955"/>
      <c r="GPN170" s="963"/>
      <c r="GPO170" s="2242"/>
      <c r="GPP170" s="1360"/>
      <c r="GPQ170" s="1360"/>
      <c r="GPR170" s="1360"/>
      <c r="GPS170" s="1360"/>
      <c r="GPT170" s="1362"/>
      <c r="GPU170" s="955"/>
      <c r="GPV170" s="963"/>
      <c r="GPW170" s="2242"/>
      <c r="GPX170" s="1360"/>
      <c r="GPY170" s="1360"/>
      <c r="GPZ170" s="1360"/>
      <c r="GQA170" s="1360"/>
      <c r="GQB170" s="1362"/>
      <c r="GQC170" s="955"/>
      <c r="GQD170" s="963"/>
      <c r="GQE170" s="2242"/>
      <c r="GQF170" s="1360"/>
      <c r="GQG170" s="1360"/>
      <c r="GQH170" s="1360"/>
      <c r="GQI170" s="1360"/>
      <c r="GQJ170" s="1362"/>
      <c r="GQK170" s="955"/>
      <c r="GQL170" s="963"/>
      <c r="GQM170" s="2242"/>
      <c r="GQN170" s="1360"/>
      <c r="GQO170" s="1360"/>
      <c r="GQP170" s="1360"/>
      <c r="GQQ170" s="1360"/>
      <c r="GQR170" s="1362"/>
      <c r="GQS170" s="955"/>
      <c r="GQT170" s="963"/>
      <c r="GQU170" s="2242"/>
      <c r="GQV170" s="1360"/>
      <c r="GQW170" s="1360"/>
      <c r="GQX170" s="1360"/>
      <c r="GQY170" s="1360"/>
      <c r="GQZ170" s="1362"/>
      <c r="GRA170" s="955"/>
      <c r="GRB170" s="963"/>
      <c r="GRC170" s="2242"/>
      <c r="GRD170" s="1360"/>
      <c r="GRE170" s="1360"/>
      <c r="GRF170" s="1360"/>
      <c r="GRG170" s="1360"/>
      <c r="GRH170" s="1362"/>
      <c r="GRI170" s="955"/>
      <c r="GRJ170" s="963"/>
      <c r="GRK170" s="2242"/>
      <c r="GRL170" s="1360"/>
      <c r="GRM170" s="1360"/>
      <c r="GRN170" s="1360"/>
      <c r="GRO170" s="1360"/>
      <c r="GRP170" s="1362"/>
      <c r="GRQ170" s="955"/>
      <c r="GRR170" s="963"/>
      <c r="GRS170" s="2242"/>
      <c r="GRT170" s="1360"/>
      <c r="GRU170" s="1360"/>
      <c r="GRV170" s="1360"/>
      <c r="GRW170" s="1360"/>
      <c r="GRX170" s="1362"/>
      <c r="GRY170" s="955"/>
      <c r="GRZ170" s="963"/>
      <c r="GSA170" s="2242"/>
      <c r="GSB170" s="1360"/>
      <c r="GSC170" s="1360"/>
      <c r="GSD170" s="1360"/>
      <c r="GSE170" s="1360"/>
      <c r="GSF170" s="1362"/>
      <c r="GSG170" s="955"/>
      <c r="GSH170" s="963"/>
      <c r="GSI170" s="2242"/>
      <c r="GSJ170" s="1360"/>
      <c r="GSK170" s="1360"/>
      <c r="GSL170" s="1360"/>
      <c r="GSM170" s="1360"/>
      <c r="GSN170" s="1362"/>
      <c r="GSO170" s="955"/>
      <c r="GSP170" s="963"/>
      <c r="GSQ170" s="2242"/>
      <c r="GSR170" s="1360"/>
      <c r="GSS170" s="1360"/>
      <c r="GST170" s="1360"/>
      <c r="GSU170" s="1360"/>
      <c r="GSV170" s="1362"/>
      <c r="GSW170" s="955"/>
      <c r="GSX170" s="963"/>
      <c r="GSY170" s="2242"/>
      <c r="GSZ170" s="1360"/>
      <c r="GTA170" s="1360"/>
      <c r="GTB170" s="1360"/>
      <c r="GTC170" s="1360"/>
      <c r="GTD170" s="1362"/>
      <c r="GTE170" s="955"/>
      <c r="GTF170" s="963"/>
      <c r="GTG170" s="2242"/>
      <c r="GTH170" s="1360"/>
      <c r="GTI170" s="1360"/>
      <c r="GTJ170" s="1360"/>
      <c r="GTK170" s="1360"/>
      <c r="GTL170" s="1362"/>
      <c r="GTM170" s="955"/>
      <c r="GTN170" s="963"/>
      <c r="GTO170" s="2242"/>
      <c r="GTP170" s="1360"/>
      <c r="GTQ170" s="1360"/>
      <c r="GTR170" s="1360"/>
      <c r="GTS170" s="1360"/>
      <c r="GTT170" s="1362"/>
      <c r="GTU170" s="955"/>
      <c r="GTV170" s="963"/>
      <c r="GTW170" s="2242"/>
      <c r="GTX170" s="1360"/>
      <c r="GTY170" s="1360"/>
      <c r="GTZ170" s="1360"/>
      <c r="GUA170" s="1360"/>
      <c r="GUB170" s="1362"/>
      <c r="GUC170" s="955"/>
      <c r="GUD170" s="963"/>
      <c r="GUE170" s="2242"/>
      <c r="GUF170" s="1360"/>
      <c r="GUG170" s="1360"/>
      <c r="GUH170" s="1360"/>
      <c r="GUI170" s="1360"/>
      <c r="GUJ170" s="1362"/>
      <c r="GUK170" s="955"/>
      <c r="GUL170" s="963"/>
      <c r="GUM170" s="2242"/>
      <c r="GUN170" s="1360"/>
      <c r="GUO170" s="1360"/>
      <c r="GUP170" s="1360"/>
      <c r="GUQ170" s="1360"/>
      <c r="GUR170" s="1362"/>
      <c r="GUS170" s="955"/>
      <c r="GUT170" s="963"/>
      <c r="GUU170" s="2242"/>
      <c r="GUV170" s="1360"/>
      <c r="GUW170" s="1360"/>
      <c r="GUX170" s="1360"/>
      <c r="GUY170" s="1360"/>
      <c r="GUZ170" s="1362"/>
      <c r="GVA170" s="955"/>
      <c r="GVB170" s="963"/>
      <c r="GVC170" s="2242"/>
      <c r="GVD170" s="1360"/>
      <c r="GVE170" s="1360"/>
      <c r="GVF170" s="1360"/>
      <c r="GVG170" s="1360"/>
      <c r="GVH170" s="1362"/>
      <c r="GVI170" s="955"/>
      <c r="GVJ170" s="963"/>
      <c r="GVK170" s="2242"/>
      <c r="GVL170" s="1360"/>
      <c r="GVM170" s="1360"/>
      <c r="GVN170" s="1360"/>
      <c r="GVO170" s="1360"/>
      <c r="GVP170" s="1362"/>
      <c r="GVQ170" s="955"/>
      <c r="GVR170" s="963"/>
      <c r="GVS170" s="2242"/>
      <c r="GVT170" s="1360"/>
      <c r="GVU170" s="1360"/>
      <c r="GVV170" s="1360"/>
      <c r="GVW170" s="1360"/>
      <c r="GVX170" s="1362"/>
      <c r="GVY170" s="955"/>
      <c r="GVZ170" s="963"/>
      <c r="GWA170" s="2242"/>
      <c r="GWB170" s="1360"/>
      <c r="GWC170" s="1360"/>
      <c r="GWD170" s="1360"/>
      <c r="GWE170" s="1360"/>
      <c r="GWF170" s="1362"/>
      <c r="GWG170" s="955"/>
      <c r="GWH170" s="963"/>
      <c r="GWI170" s="2242"/>
      <c r="GWJ170" s="1360"/>
      <c r="GWK170" s="1360"/>
      <c r="GWL170" s="1360"/>
      <c r="GWM170" s="1360"/>
      <c r="GWN170" s="1362"/>
      <c r="GWO170" s="955"/>
      <c r="GWP170" s="963"/>
      <c r="GWQ170" s="2242"/>
      <c r="GWR170" s="1360"/>
      <c r="GWS170" s="1360"/>
      <c r="GWT170" s="1360"/>
      <c r="GWU170" s="1360"/>
      <c r="GWV170" s="1362"/>
      <c r="GWW170" s="955"/>
      <c r="GWX170" s="963"/>
      <c r="GWY170" s="2242"/>
      <c r="GWZ170" s="1360"/>
      <c r="GXA170" s="1360"/>
      <c r="GXB170" s="1360"/>
      <c r="GXC170" s="1360"/>
      <c r="GXD170" s="1362"/>
      <c r="GXE170" s="955"/>
      <c r="GXF170" s="963"/>
      <c r="GXG170" s="2242"/>
      <c r="GXH170" s="1360"/>
      <c r="GXI170" s="1360"/>
      <c r="GXJ170" s="1360"/>
      <c r="GXK170" s="1360"/>
      <c r="GXL170" s="1362"/>
      <c r="GXM170" s="955"/>
      <c r="GXN170" s="963"/>
      <c r="GXO170" s="2242"/>
      <c r="GXP170" s="1360"/>
      <c r="GXQ170" s="1360"/>
      <c r="GXR170" s="1360"/>
      <c r="GXS170" s="1360"/>
      <c r="GXT170" s="1362"/>
      <c r="GXU170" s="955"/>
      <c r="GXV170" s="963"/>
      <c r="GXW170" s="2242"/>
      <c r="GXX170" s="1360"/>
      <c r="GXY170" s="1360"/>
      <c r="GXZ170" s="1360"/>
      <c r="GYA170" s="1360"/>
      <c r="GYB170" s="1362"/>
      <c r="GYC170" s="955"/>
      <c r="GYD170" s="963"/>
      <c r="GYE170" s="2242"/>
      <c r="GYF170" s="1360"/>
      <c r="GYG170" s="1360"/>
      <c r="GYH170" s="1360"/>
      <c r="GYI170" s="1360"/>
      <c r="GYJ170" s="1362"/>
      <c r="GYK170" s="955"/>
      <c r="GYL170" s="963"/>
      <c r="GYM170" s="2242"/>
      <c r="GYN170" s="1360"/>
      <c r="GYO170" s="1360"/>
      <c r="GYP170" s="1360"/>
      <c r="GYQ170" s="1360"/>
      <c r="GYR170" s="1362"/>
      <c r="GYS170" s="955"/>
      <c r="GYT170" s="963"/>
      <c r="GYU170" s="2242"/>
      <c r="GYV170" s="1360"/>
      <c r="GYW170" s="1360"/>
      <c r="GYX170" s="1360"/>
      <c r="GYY170" s="1360"/>
      <c r="GYZ170" s="1362"/>
      <c r="GZA170" s="955"/>
      <c r="GZB170" s="963"/>
      <c r="GZC170" s="2242"/>
      <c r="GZD170" s="1360"/>
      <c r="GZE170" s="1360"/>
      <c r="GZF170" s="1360"/>
      <c r="GZG170" s="1360"/>
      <c r="GZH170" s="1362"/>
      <c r="GZI170" s="955"/>
      <c r="GZJ170" s="963"/>
      <c r="GZK170" s="2242"/>
      <c r="GZL170" s="1360"/>
      <c r="GZM170" s="1360"/>
      <c r="GZN170" s="1360"/>
      <c r="GZO170" s="1360"/>
      <c r="GZP170" s="1362"/>
      <c r="GZQ170" s="955"/>
      <c r="GZR170" s="963"/>
      <c r="GZS170" s="2242"/>
      <c r="GZT170" s="1360"/>
      <c r="GZU170" s="1360"/>
      <c r="GZV170" s="1360"/>
      <c r="GZW170" s="1360"/>
      <c r="GZX170" s="1362"/>
      <c r="GZY170" s="955"/>
      <c r="GZZ170" s="963"/>
      <c r="HAA170" s="2242"/>
      <c r="HAB170" s="1360"/>
      <c r="HAC170" s="1360"/>
      <c r="HAD170" s="1360"/>
      <c r="HAE170" s="1360"/>
      <c r="HAF170" s="1362"/>
      <c r="HAG170" s="955"/>
      <c r="HAH170" s="963"/>
      <c r="HAI170" s="2242"/>
      <c r="HAJ170" s="1360"/>
      <c r="HAK170" s="1360"/>
      <c r="HAL170" s="1360"/>
      <c r="HAM170" s="1360"/>
      <c r="HAN170" s="1362"/>
      <c r="HAO170" s="955"/>
      <c r="HAP170" s="963"/>
      <c r="HAQ170" s="2242"/>
      <c r="HAR170" s="1360"/>
      <c r="HAS170" s="1360"/>
      <c r="HAT170" s="1360"/>
      <c r="HAU170" s="1360"/>
      <c r="HAV170" s="1362"/>
      <c r="HAW170" s="955"/>
      <c r="HAX170" s="963"/>
      <c r="HAY170" s="2242"/>
      <c r="HAZ170" s="1360"/>
      <c r="HBA170" s="1360"/>
      <c r="HBB170" s="1360"/>
      <c r="HBC170" s="1360"/>
      <c r="HBD170" s="1362"/>
      <c r="HBE170" s="955"/>
      <c r="HBF170" s="963"/>
      <c r="HBG170" s="2242"/>
      <c r="HBH170" s="1360"/>
      <c r="HBI170" s="1360"/>
      <c r="HBJ170" s="1360"/>
      <c r="HBK170" s="1360"/>
      <c r="HBL170" s="1362"/>
      <c r="HBM170" s="955"/>
      <c r="HBN170" s="963"/>
      <c r="HBO170" s="2242"/>
      <c r="HBP170" s="1360"/>
      <c r="HBQ170" s="1360"/>
      <c r="HBR170" s="1360"/>
      <c r="HBS170" s="1360"/>
      <c r="HBT170" s="1362"/>
      <c r="HBU170" s="955"/>
      <c r="HBV170" s="963"/>
      <c r="HBW170" s="2242"/>
      <c r="HBX170" s="1360"/>
      <c r="HBY170" s="1360"/>
      <c r="HBZ170" s="1360"/>
      <c r="HCA170" s="1360"/>
      <c r="HCB170" s="1362"/>
      <c r="HCC170" s="955"/>
      <c r="HCD170" s="963"/>
      <c r="HCE170" s="2242"/>
      <c r="HCF170" s="1360"/>
      <c r="HCG170" s="1360"/>
      <c r="HCH170" s="1360"/>
      <c r="HCI170" s="1360"/>
      <c r="HCJ170" s="1362"/>
      <c r="HCK170" s="955"/>
      <c r="HCL170" s="963"/>
      <c r="HCM170" s="2242"/>
      <c r="HCN170" s="1360"/>
      <c r="HCO170" s="1360"/>
      <c r="HCP170" s="1360"/>
      <c r="HCQ170" s="1360"/>
      <c r="HCR170" s="1362"/>
      <c r="HCS170" s="955"/>
      <c r="HCT170" s="963"/>
      <c r="HCU170" s="2242"/>
      <c r="HCV170" s="1360"/>
      <c r="HCW170" s="1360"/>
      <c r="HCX170" s="1360"/>
      <c r="HCY170" s="1360"/>
      <c r="HCZ170" s="1362"/>
      <c r="HDA170" s="955"/>
      <c r="HDB170" s="963"/>
      <c r="HDC170" s="2242"/>
      <c r="HDD170" s="1360"/>
      <c r="HDE170" s="1360"/>
      <c r="HDF170" s="1360"/>
      <c r="HDG170" s="1360"/>
      <c r="HDH170" s="1362"/>
      <c r="HDI170" s="955"/>
      <c r="HDJ170" s="963"/>
      <c r="HDK170" s="2242"/>
      <c r="HDL170" s="1360"/>
      <c r="HDM170" s="1360"/>
      <c r="HDN170" s="1360"/>
      <c r="HDO170" s="1360"/>
      <c r="HDP170" s="1362"/>
      <c r="HDQ170" s="955"/>
      <c r="HDR170" s="963"/>
      <c r="HDS170" s="2242"/>
      <c r="HDT170" s="1360"/>
      <c r="HDU170" s="1360"/>
      <c r="HDV170" s="1360"/>
      <c r="HDW170" s="1360"/>
      <c r="HDX170" s="1362"/>
      <c r="HDY170" s="955"/>
      <c r="HDZ170" s="963"/>
      <c r="HEA170" s="2242"/>
      <c r="HEB170" s="1360"/>
      <c r="HEC170" s="1360"/>
      <c r="HED170" s="1360"/>
      <c r="HEE170" s="1360"/>
      <c r="HEF170" s="1362"/>
      <c r="HEG170" s="955"/>
      <c r="HEH170" s="963"/>
      <c r="HEI170" s="2242"/>
      <c r="HEJ170" s="1360"/>
      <c r="HEK170" s="1360"/>
      <c r="HEL170" s="1360"/>
      <c r="HEM170" s="1360"/>
      <c r="HEN170" s="1362"/>
      <c r="HEO170" s="955"/>
      <c r="HEP170" s="963"/>
      <c r="HEQ170" s="2242"/>
      <c r="HER170" s="1360"/>
      <c r="HES170" s="1360"/>
      <c r="HET170" s="1360"/>
      <c r="HEU170" s="1360"/>
      <c r="HEV170" s="1362"/>
      <c r="HEW170" s="955"/>
      <c r="HEX170" s="963"/>
      <c r="HEY170" s="2242"/>
      <c r="HEZ170" s="1360"/>
      <c r="HFA170" s="1360"/>
      <c r="HFB170" s="1360"/>
      <c r="HFC170" s="1360"/>
      <c r="HFD170" s="1362"/>
      <c r="HFE170" s="955"/>
      <c r="HFF170" s="963"/>
      <c r="HFG170" s="2242"/>
      <c r="HFH170" s="1360"/>
      <c r="HFI170" s="1360"/>
      <c r="HFJ170" s="1360"/>
      <c r="HFK170" s="1360"/>
      <c r="HFL170" s="1362"/>
      <c r="HFM170" s="955"/>
      <c r="HFN170" s="963"/>
      <c r="HFO170" s="2242"/>
      <c r="HFP170" s="1360"/>
      <c r="HFQ170" s="1360"/>
      <c r="HFR170" s="1360"/>
      <c r="HFS170" s="1360"/>
      <c r="HFT170" s="1362"/>
      <c r="HFU170" s="955"/>
      <c r="HFV170" s="963"/>
      <c r="HFW170" s="2242"/>
      <c r="HFX170" s="1360"/>
      <c r="HFY170" s="1360"/>
      <c r="HFZ170" s="1360"/>
      <c r="HGA170" s="1360"/>
      <c r="HGB170" s="1362"/>
      <c r="HGC170" s="955"/>
      <c r="HGD170" s="963"/>
      <c r="HGE170" s="2242"/>
      <c r="HGF170" s="1360"/>
      <c r="HGG170" s="1360"/>
      <c r="HGH170" s="1360"/>
      <c r="HGI170" s="1360"/>
      <c r="HGJ170" s="1362"/>
      <c r="HGK170" s="955"/>
      <c r="HGL170" s="963"/>
      <c r="HGM170" s="2242"/>
      <c r="HGN170" s="1360"/>
      <c r="HGO170" s="1360"/>
      <c r="HGP170" s="1360"/>
      <c r="HGQ170" s="1360"/>
      <c r="HGR170" s="1362"/>
      <c r="HGS170" s="955"/>
      <c r="HGT170" s="963"/>
      <c r="HGU170" s="2242"/>
      <c r="HGV170" s="1360"/>
      <c r="HGW170" s="1360"/>
      <c r="HGX170" s="1360"/>
      <c r="HGY170" s="1360"/>
      <c r="HGZ170" s="1362"/>
      <c r="HHA170" s="955"/>
      <c r="HHB170" s="963"/>
      <c r="HHC170" s="2242"/>
      <c r="HHD170" s="1360"/>
      <c r="HHE170" s="1360"/>
      <c r="HHF170" s="1360"/>
      <c r="HHG170" s="1360"/>
      <c r="HHH170" s="1362"/>
      <c r="HHI170" s="955"/>
      <c r="HHJ170" s="963"/>
      <c r="HHK170" s="2242"/>
      <c r="HHL170" s="1360"/>
      <c r="HHM170" s="1360"/>
      <c r="HHN170" s="1360"/>
      <c r="HHO170" s="1360"/>
      <c r="HHP170" s="1362"/>
      <c r="HHQ170" s="955"/>
      <c r="HHR170" s="963"/>
      <c r="HHS170" s="2242"/>
      <c r="HHT170" s="1360"/>
      <c r="HHU170" s="1360"/>
      <c r="HHV170" s="1360"/>
      <c r="HHW170" s="1360"/>
      <c r="HHX170" s="1362"/>
      <c r="HHY170" s="955"/>
      <c r="HHZ170" s="963"/>
      <c r="HIA170" s="2242"/>
      <c r="HIB170" s="1360"/>
      <c r="HIC170" s="1360"/>
      <c r="HID170" s="1360"/>
      <c r="HIE170" s="1360"/>
      <c r="HIF170" s="1362"/>
      <c r="HIG170" s="955"/>
      <c r="HIH170" s="963"/>
      <c r="HII170" s="2242"/>
      <c r="HIJ170" s="1360"/>
      <c r="HIK170" s="1360"/>
      <c r="HIL170" s="1360"/>
      <c r="HIM170" s="1360"/>
      <c r="HIN170" s="1362"/>
      <c r="HIO170" s="955"/>
      <c r="HIP170" s="963"/>
      <c r="HIQ170" s="2242"/>
      <c r="HIR170" s="1360"/>
      <c r="HIS170" s="1360"/>
      <c r="HIT170" s="1360"/>
      <c r="HIU170" s="1360"/>
      <c r="HIV170" s="1362"/>
      <c r="HIW170" s="955"/>
      <c r="HIX170" s="963"/>
      <c r="HIY170" s="2242"/>
      <c r="HIZ170" s="1360"/>
      <c r="HJA170" s="1360"/>
      <c r="HJB170" s="1360"/>
      <c r="HJC170" s="1360"/>
      <c r="HJD170" s="1362"/>
      <c r="HJE170" s="955"/>
      <c r="HJF170" s="963"/>
      <c r="HJG170" s="2242"/>
      <c r="HJH170" s="1360"/>
      <c r="HJI170" s="1360"/>
      <c r="HJJ170" s="1360"/>
      <c r="HJK170" s="1360"/>
      <c r="HJL170" s="1362"/>
      <c r="HJM170" s="955"/>
      <c r="HJN170" s="963"/>
      <c r="HJO170" s="2242"/>
      <c r="HJP170" s="1360"/>
      <c r="HJQ170" s="1360"/>
      <c r="HJR170" s="1360"/>
      <c r="HJS170" s="1360"/>
      <c r="HJT170" s="1362"/>
      <c r="HJU170" s="955"/>
      <c r="HJV170" s="963"/>
      <c r="HJW170" s="2242"/>
      <c r="HJX170" s="1360"/>
      <c r="HJY170" s="1360"/>
      <c r="HJZ170" s="1360"/>
      <c r="HKA170" s="1360"/>
      <c r="HKB170" s="1362"/>
      <c r="HKC170" s="955"/>
      <c r="HKD170" s="963"/>
      <c r="HKE170" s="2242"/>
      <c r="HKF170" s="1360"/>
      <c r="HKG170" s="1360"/>
      <c r="HKH170" s="1360"/>
      <c r="HKI170" s="1360"/>
      <c r="HKJ170" s="1362"/>
      <c r="HKK170" s="955"/>
      <c r="HKL170" s="963"/>
      <c r="HKM170" s="2242"/>
      <c r="HKN170" s="1360"/>
      <c r="HKO170" s="1360"/>
      <c r="HKP170" s="1360"/>
      <c r="HKQ170" s="1360"/>
      <c r="HKR170" s="1362"/>
      <c r="HKS170" s="955"/>
      <c r="HKT170" s="963"/>
      <c r="HKU170" s="2242"/>
      <c r="HKV170" s="1360"/>
      <c r="HKW170" s="1360"/>
      <c r="HKX170" s="1360"/>
      <c r="HKY170" s="1360"/>
      <c r="HKZ170" s="1362"/>
      <c r="HLA170" s="955"/>
      <c r="HLB170" s="963"/>
      <c r="HLC170" s="2242"/>
      <c r="HLD170" s="1360"/>
      <c r="HLE170" s="1360"/>
      <c r="HLF170" s="1360"/>
      <c r="HLG170" s="1360"/>
      <c r="HLH170" s="1362"/>
      <c r="HLI170" s="955"/>
      <c r="HLJ170" s="963"/>
      <c r="HLK170" s="2242"/>
      <c r="HLL170" s="1360"/>
      <c r="HLM170" s="1360"/>
      <c r="HLN170" s="1360"/>
      <c r="HLO170" s="1360"/>
      <c r="HLP170" s="1362"/>
      <c r="HLQ170" s="955"/>
      <c r="HLR170" s="963"/>
      <c r="HLS170" s="2242"/>
      <c r="HLT170" s="1360"/>
      <c r="HLU170" s="1360"/>
      <c r="HLV170" s="1360"/>
      <c r="HLW170" s="1360"/>
      <c r="HLX170" s="1362"/>
      <c r="HLY170" s="955"/>
      <c r="HLZ170" s="963"/>
      <c r="HMA170" s="2242"/>
      <c r="HMB170" s="1360"/>
      <c r="HMC170" s="1360"/>
      <c r="HMD170" s="1360"/>
      <c r="HME170" s="1360"/>
      <c r="HMF170" s="1362"/>
      <c r="HMG170" s="955"/>
      <c r="HMH170" s="963"/>
      <c r="HMI170" s="2242"/>
      <c r="HMJ170" s="1360"/>
      <c r="HMK170" s="1360"/>
      <c r="HML170" s="1360"/>
      <c r="HMM170" s="1360"/>
      <c r="HMN170" s="1362"/>
      <c r="HMO170" s="955"/>
      <c r="HMP170" s="963"/>
      <c r="HMQ170" s="2242"/>
      <c r="HMR170" s="1360"/>
      <c r="HMS170" s="1360"/>
      <c r="HMT170" s="1360"/>
      <c r="HMU170" s="1360"/>
      <c r="HMV170" s="1362"/>
      <c r="HMW170" s="955"/>
      <c r="HMX170" s="963"/>
      <c r="HMY170" s="2242"/>
      <c r="HMZ170" s="1360"/>
      <c r="HNA170" s="1360"/>
      <c r="HNB170" s="1360"/>
      <c r="HNC170" s="1360"/>
      <c r="HND170" s="1362"/>
      <c r="HNE170" s="955"/>
      <c r="HNF170" s="963"/>
      <c r="HNG170" s="2242"/>
      <c r="HNH170" s="1360"/>
      <c r="HNI170" s="1360"/>
      <c r="HNJ170" s="1360"/>
      <c r="HNK170" s="1360"/>
      <c r="HNL170" s="1362"/>
      <c r="HNM170" s="955"/>
      <c r="HNN170" s="963"/>
      <c r="HNO170" s="2242"/>
      <c r="HNP170" s="1360"/>
      <c r="HNQ170" s="1360"/>
      <c r="HNR170" s="1360"/>
      <c r="HNS170" s="1360"/>
      <c r="HNT170" s="1362"/>
      <c r="HNU170" s="955"/>
      <c r="HNV170" s="963"/>
      <c r="HNW170" s="2242"/>
      <c r="HNX170" s="1360"/>
      <c r="HNY170" s="1360"/>
      <c r="HNZ170" s="1360"/>
      <c r="HOA170" s="1360"/>
      <c r="HOB170" s="1362"/>
      <c r="HOC170" s="955"/>
      <c r="HOD170" s="963"/>
      <c r="HOE170" s="2242"/>
      <c r="HOF170" s="1360"/>
      <c r="HOG170" s="1360"/>
      <c r="HOH170" s="1360"/>
      <c r="HOI170" s="1360"/>
      <c r="HOJ170" s="1362"/>
      <c r="HOK170" s="955"/>
      <c r="HOL170" s="963"/>
      <c r="HOM170" s="2242"/>
      <c r="HON170" s="1360"/>
      <c r="HOO170" s="1360"/>
      <c r="HOP170" s="1360"/>
      <c r="HOQ170" s="1360"/>
      <c r="HOR170" s="1362"/>
      <c r="HOS170" s="955"/>
      <c r="HOT170" s="963"/>
      <c r="HOU170" s="2242"/>
      <c r="HOV170" s="1360"/>
      <c r="HOW170" s="1360"/>
      <c r="HOX170" s="1360"/>
      <c r="HOY170" s="1360"/>
      <c r="HOZ170" s="1362"/>
      <c r="HPA170" s="955"/>
      <c r="HPB170" s="963"/>
      <c r="HPC170" s="2242"/>
      <c r="HPD170" s="1360"/>
      <c r="HPE170" s="1360"/>
      <c r="HPF170" s="1360"/>
      <c r="HPG170" s="1360"/>
      <c r="HPH170" s="1362"/>
      <c r="HPI170" s="955"/>
      <c r="HPJ170" s="963"/>
      <c r="HPK170" s="2242"/>
      <c r="HPL170" s="1360"/>
      <c r="HPM170" s="1360"/>
      <c r="HPN170" s="1360"/>
      <c r="HPO170" s="1360"/>
      <c r="HPP170" s="1362"/>
      <c r="HPQ170" s="955"/>
      <c r="HPR170" s="963"/>
      <c r="HPS170" s="2242"/>
      <c r="HPT170" s="1360"/>
      <c r="HPU170" s="1360"/>
      <c r="HPV170" s="1360"/>
      <c r="HPW170" s="1360"/>
      <c r="HPX170" s="1362"/>
      <c r="HPY170" s="955"/>
      <c r="HPZ170" s="963"/>
      <c r="HQA170" s="2242"/>
      <c r="HQB170" s="1360"/>
      <c r="HQC170" s="1360"/>
      <c r="HQD170" s="1360"/>
      <c r="HQE170" s="1360"/>
      <c r="HQF170" s="1362"/>
      <c r="HQG170" s="955"/>
      <c r="HQH170" s="963"/>
      <c r="HQI170" s="2242"/>
      <c r="HQJ170" s="1360"/>
      <c r="HQK170" s="1360"/>
      <c r="HQL170" s="1360"/>
      <c r="HQM170" s="1360"/>
      <c r="HQN170" s="1362"/>
      <c r="HQO170" s="955"/>
      <c r="HQP170" s="963"/>
      <c r="HQQ170" s="2242"/>
      <c r="HQR170" s="1360"/>
      <c r="HQS170" s="1360"/>
      <c r="HQT170" s="1360"/>
      <c r="HQU170" s="1360"/>
      <c r="HQV170" s="1362"/>
      <c r="HQW170" s="955"/>
      <c r="HQX170" s="963"/>
      <c r="HQY170" s="2242"/>
      <c r="HQZ170" s="1360"/>
      <c r="HRA170" s="1360"/>
      <c r="HRB170" s="1360"/>
      <c r="HRC170" s="1360"/>
      <c r="HRD170" s="1362"/>
      <c r="HRE170" s="955"/>
      <c r="HRF170" s="963"/>
      <c r="HRG170" s="2242"/>
      <c r="HRH170" s="1360"/>
      <c r="HRI170" s="1360"/>
      <c r="HRJ170" s="1360"/>
      <c r="HRK170" s="1360"/>
      <c r="HRL170" s="1362"/>
      <c r="HRM170" s="955"/>
      <c r="HRN170" s="963"/>
      <c r="HRO170" s="2242"/>
      <c r="HRP170" s="1360"/>
      <c r="HRQ170" s="1360"/>
      <c r="HRR170" s="1360"/>
      <c r="HRS170" s="1360"/>
      <c r="HRT170" s="1362"/>
      <c r="HRU170" s="955"/>
      <c r="HRV170" s="963"/>
      <c r="HRW170" s="2242"/>
      <c r="HRX170" s="1360"/>
      <c r="HRY170" s="1360"/>
      <c r="HRZ170" s="1360"/>
      <c r="HSA170" s="1360"/>
      <c r="HSB170" s="1362"/>
      <c r="HSC170" s="955"/>
      <c r="HSD170" s="963"/>
      <c r="HSE170" s="2242"/>
      <c r="HSF170" s="1360"/>
      <c r="HSG170" s="1360"/>
      <c r="HSH170" s="1360"/>
      <c r="HSI170" s="1360"/>
      <c r="HSJ170" s="1362"/>
      <c r="HSK170" s="955"/>
      <c r="HSL170" s="963"/>
      <c r="HSM170" s="2242"/>
      <c r="HSN170" s="1360"/>
      <c r="HSO170" s="1360"/>
      <c r="HSP170" s="1360"/>
      <c r="HSQ170" s="1360"/>
      <c r="HSR170" s="1362"/>
      <c r="HSS170" s="955"/>
      <c r="HST170" s="963"/>
      <c r="HSU170" s="2242"/>
      <c r="HSV170" s="1360"/>
      <c r="HSW170" s="1360"/>
      <c r="HSX170" s="1360"/>
      <c r="HSY170" s="1360"/>
      <c r="HSZ170" s="1362"/>
      <c r="HTA170" s="955"/>
      <c r="HTB170" s="963"/>
      <c r="HTC170" s="2242"/>
      <c r="HTD170" s="1360"/>
      <c r="HTE170" s="1360"/>
      <c r="HTF170" s="1360"/>
      <c r="HTG170" s="1360"/>
      <c r="HTH170" s="1362"/>
      <c r="HTI170" s="955"/>
      <c r="HTJ170" s="963"/>
      <c r="HTK170" s="2242"/>
      <c r="HTL170" s="1360"/>
      <c r="HTM170" s="1360"/>
      <c r="HTN170" s="1360"/>
      <c r="HTO170" s="1360"/>
      <c r="HTP170" s="1362"/>
      <c r="HTQ170" s="955"/>
      <c r="HTR170" s="963"/>
      <c r="HTS170" s="2242"/>
      <c r="HTT170" s="1360"/>
      <c r="HTU170" s="1360"/>
      <c r="HTV170" s="1360"/>
      <c r="HTW170" s="1360"/>
      <c r="HTX170" s="1362"/>
      <c r="HTY170" s="955"/>
      <c r="HTZ170" s="963"/>
      <c r="HUA170" s="2242"/>
      <c r="HUB170" s="1360"/>
      <c r="HUC170" s="1360"/>
      <c r="HUD170" s="1360"/>
      <c r="HUE170" s="1360"/>
      <c r="HUF170" s="1362"/>
      <c r="HUG170" s="955"/>
      <c r="HUH170" s="963"/>
      <c r="HUI170" s="2242"/>
      <c r="HUJ170" s="1360"/>
      <c r="HUK170" s="1360"/>
      <c r="HUL170" s="1360"/>
      <c r="HUM170" s="1360"/>
      <c r="HUN170" s="1362"/>
      <c r="HUO170" s="955"/>
      <c r="HUP170" s="963"/>
      <c r="HUQ170" s="2242"/>
      <c r="HUR170" s="1360"/>
      <c r="HUS170" s="1360"/>
      <c r="HUT170" s="1360"/>
      <c r="HUU170" s="1360"/>
      <c r="HUV170" s="1362"/>
      <c r="HUW170" s="955"/>
      <c r="HUX170" s="963"/>
      <c r="HUY170" s="2242"/>
      <c r="HUZ170" s="1360"/>
      <c r="HVA170" s="1360"/>
      <c r="HVB170" s="1360"/>
      <c r="HVC170" s="1360"/>
      <c r="HVD170" s="1362"/>
      <c r="HVE170" s="955"/>
      <c r="HVF170" s="963"/>
      <c r="HVG170" s="2242"/>
      <c r="HVH170" s="1360"/>
      <c r="HVI170" s="1360"/>
      <c r="HVJ170" s="1360"/>
      <c r="HVK170" s="1360"/>
      <c r="HVL170" s="1362"/>
      <c r="HVM170" s="955"/>
      <c r="HVN170" s="963"/>
      <c r="HVO170" s="2242"/>
      <c r="HVP170" s="1360"/>
      <c r="HVQ170" s="1360"/>
      <c r="HVR170" s="1360"/>
      <c r="HVS170" s="1360"/>
      <c r="HVT170" s="1362"/>
      <c r="HVU170" s="955"/>
      <c r="HVV170" s="963"/>
      <c r="HVW170" s="2242"/>
      <c r="HVX170" s="1360"/>
      <c r="HVY170" s="1360"/>
      <c r="HVZ170" s="1360"/>
      <c r="HWA170" s="1360"/>
      <c r="HWB170" s="1362"/>
      <c r="HWC170" s="955"/>
      <c r="HWD170" s="963"/>
      <c r="HWE170" s="2242"/>
      <c r="HWF170" s="1360"/>
      <c r="HWG170" s="1360"/>
      <c r="HWH170" s="1360"/>
      <c r="HWI170" s="1360"/>
      <c r="HWJ170" s="1362"/>
      <c r="HWK170" s="955"/>
      <c r="HWL170" s="963"/>
      <c r="HWM170" s="2242"/>
      <c r="HWN170" s="1360"/>
      <c r="HWO170" s="1360"/>
      <c r="HWP170" s="1360"/>
      <c r="HWQ170" s="1360"/>
      <c r="HWR170" s="1362"/>
      <c r="HWS170" s="955"/>
      <c r="HWT170" s="963"/>
      <c r="HWU170" s="2242"/>
      <c r="HWV170" s="1360"/>
      <c r="HWW170" s="1360"/>
      <c r="HWX170" s="1360"/>
      <c r="HWY170" s="1360"/>
      <c r="HWZ170" s="1362"/>
      <c r="HXA170" s="955"/>
      <c r="HXB170" s="963"/>
      <c r="HXC170" s="2242"/>
      <c r="HXD170" s="1360"/>
      <c r="HXE170" s="1360"/>
      <c r="HXF170" s="1360"/>
      <c r="HXG170" s="1360"/>
      <c r="HXH170" s="1362"/>
      <c r="HXI170" s="955"/>
      <c r="HXJ170" s="963"/>
      <c r="HXK170" s="2242"/>
      <c r="HXL170" s="1360"/>
      <c r="HXM170" s="1360"/>
      <c r="HXN170" s="1360"/>
      <c r="HXO170" s="1360"/>
      <c r="HXP170" s="1362"/>
      <c r="HXQ170" s="955"/>
      <c r="HXR170" s="963"/>
      <c r="HXS170" s="2242"/>
      <c r="HXT170" s="1360"/>
      <c r="HXU170" s="1360"/>
      <c r="HXV170" s="1360"/>
      <c r="HXW170" s="1360"/>
      <c r="HXX170" s="1362"/>
      <c r="HXY170" s="955"/>
      <c r="HXZ170" s="963"/>
      <c r="HYA170" s="2242"/>
      <c r="HYB170" s="1360"/>
      <c r="HYC170" s="1360"/>
      <c r="HYD170" s="1360"/>
      <c r="HYE170" s="1360"/>
      <c r="HYF170" s="1362"/>
      <c r="HYG170" s="955"/>
      <c r="HYH170" s="963"/>
      <c r="HYI170" s="2242"/>
      <c r="HYJ170" s="1360"/>
      <c r="HYK170" s="1360"/>
      <c r="HYL170" s="1360"/>
      <c r="HYM170" s="1360"/>
      <c r="HYN170" s="1362"/>
      <c r="HYO170" s="955"/>
      <c r="HYP170" s="963"/>
      <c r="HYQ170" s="2242"/>
      <c r="HYR170" s="1360"/>
      <c r="HYS170" s="1360"/>
      <c r="HYT170" s="1360"/>
      <c r="HYU170" s="1360"/>
      <c r="HYV170" s="1362"/>
      <c r="HYW170" s="955"/>
      <c r="HYX170" s="963"/>
      <c r="HYY170" s="2242"/>
      <c r="HYZ170" s="1360"/>
      <c r="HZA170" s="1360"/>
      <c r="HZB170" s="1360"/>
      <c r="HZC170" s="1360"/>
      <c r="HZD170" s="1362"/>
      <c r="HZE170" s="955"/>
      <c r="HZF170" s="963"/>
      <c r="HZG170" s="2242"/>
      <c r="HZH170" s="1360"/>
      <c r="HZI170" s="1360"/>
      <c r="HZJ170" s="1360"/>
      <c r="HZK170" s="1360"/>
      <c r="HZL170" s="1362"/>
      <c r="HZM170" s="955"/>
      <c r="HZN170" s="963"/>
      <c r="HZO170" s="2242"/>
      <c r="HZP170" s="1360"/>
      <c r="HZQ170" s="1360"/>
      <c r="HZR170" s="1360"/>
      <c r="HZS170" s="1360"/>
      <c r="HZT170" s="1362"/>
      <c r="HZU170" s="955"/>
      <c r="HZV170" s="963"/>
      <c r="HZW170" s="2242"/>
      <c r="HZX170" s="1360"/>
      <c r="HZY170" s="1360"/>
      <c r="HZZ170" s="1360"/>
      <c r="IAA170" s="1360"/>
      <c r="IAB170" s="1362"/>
      <c r="IAC170" s="955"/>
      <c r="IAD170" s="963"/>
      <c r="IAE170" s="2242"/>
      <c r="IAF170" s="1360"/>
      <c r="IAG170" s="1360"/>
      <c r="IAH170" s="1360"/>
      <c r="IAI170" s="1360"/>
      <c r="IAJ170" s="1362"/>
      <c r="IAK170" s="955"/>
      <c r="IAL170" s="963"/>
      <c r="IAM170" s="2242"/>
      <c r="IAN170" s="1360"/>
      <c r="IAO170" s="1360"/>
      <c r="IAP170" s="1360"/>
      <c r="IAQ170" s="1360"/>
      <c r="IAR170" s="1362"/>
      <c r="IAS170" s="955"/>
      <c r="IAT170" s="963"/>
      <c r="IAU170" s="2242"/>
      <c r="IAV170" s="1360"/>
      <c r="IAW170" s="1360"/>
      <c r="IAX170" s="1360"/>
      <c r="IAY170" s="1360"/>
      <c r="IAZ170" s="1362"/>
      <c r="IBA170" s="955"/>
      <c r="IBB170" s="963"/>
      <c r="IBC170" s="2242"/>
      <c r="IBD170" s="1360"/>
      <c r="IBE170" s="1360"/>
      <c r="IBF170" s="1360"/>
      <c r="IBG170" s="1360"/>
      <c r="IBH170" s="1362"/>
      <c r="IBI170" s="955"/>
      <c r="IBJ170" s="963"/>
      <c r="IBK170" s="2242"/>
      <c r="IBL170" s="1360"/>
      <c r="IBM170" s="1360"/>
      <c r="IBN170" s="1360"/>
      <c r="IBO170" s="1360"/>
      <c r="IBP170" s="1362"/>
      <c r="IBQ170" s="955"/>
      <c r="IBR170" s="963"/>
      <c r="IBS170" s="2242"/>
      <c r="IBT170" s="1360"/>
      <c r="IBU170" s="1360"/>
      <c r="IBV170" s="1360"/>
      <c r="IBW170" s="1360"/>
      <c r="IBX170" s="1362"/>
      <c r="IBY170" s="955"/>
      <c r="IBZ170" s="963"/>
      <c r="ICA170" s="2242"/>
      <c r="ICB170" s="1360"/>
      <c r="ICC170" s="1360"/>
      <c r="ICD170" s="1360"/>
      <c r="ICE170" s="1360"/>
      <c r="ICF170" s="1362"/>
      <c r="ICG170" s="955"/>
      <c r="ICH170" s="963"/>
      <c r="ICI170" s="2242"/>
      <c r="ICJ170" s="1360"/>
      <c r="ICK170" s="1360"/>
      <c r="ICL170" s="1360"/>
      <c r="ICM170" s="1360"/>
      <c r="ICN170" s="1362"/>
      <c r="ICO170" s="955"/>
      <c r="ICP170" s="963"/>
      <c r="ICQ170" s="2242"/>
      <c r="ICR170" s="1360"/>
      <c r="ICS170" s="1360"/>
      <c r="ICT170" s="1360"/>
      <c r="ICU170" s="1360"/>
      <c r="ICV170" s="1362"/>
      <c r="ICW170" s="955"/>
      <c r="ICX170" s="963"/>
      <c r="ICY170" s="2242"/>
      <c r="ICZ170" s="1360"/>
      <c r="IDA170" s="1360"/>
      <c r="IDB170" s="1360"/>
      <c r="IDC170" s="1360"/>
      <c r="IDD170" s="1362"/>
      <c r="IDE170" s="955"/>
      <c r="IDF170" s="963"/>
      <c r="IDG170" s="2242"/>
      <c r="IDH170" s="1360"/>
      <c r="IDI170" s="1360"/>
      <c r="IDJ170" s="1360"/>
      <c r="IDK170" s="1360"/>
      <c r="IDL170" s="1362"/>
      <c r="IDM170" s="955"/>
      <c r="IDN170" s="963"/>
      <c r="IDO170" s="2242"/>
      <c r="IDP170" s="1360"/>
      <c r="IDQ170" s="1360"/>
      <c r="IDR170" s="1360"/>
      <c r="IDS170" s="1360"/>
      <c r="IDT170" s="1362"/>
      <c r="IDU170" s="955"/>
      <c r="IDV170" s="963"/>
      <c r="IDW170" s="2242"/>
      <c r="IDX170" s="1360"/>
      <c r="IDY170" s="1360"/>
      <c r="IDZ170" s="1360"/>
      <c r="IEA170" s="1360"/>
      <c r="IEB170" s="1362"/>
      <c r="IEC170" s="955"/>
      <c r="IED170" s="963"/>
      <c r="IEE170" s="2242"/>
      <c r="IEF170" s="1360"/>
      <c r="IEG170" s="1360"/>
      <c r="IEH170" s="1360"/>
      <c r="IEI170" s="1360"/>
      <c r="IEJ170" s="1362"/>
      <c r="IEK170" s="955"/>
      <c r="IEL170" s="963"/>
      <c r="IEM170" s="2242"/>
      <c r="IEN170" s="1360"/>
      <c r="IEO170" s="1360"/>
      <c r="IEP170" s="1360"/>
      <c r="IEQ170" s="1360"/>
      <c r="IER170" s="1362"/>
      <c r="IES170" s="955"/>
      <c r="IET170" s="963"/>
      <c r="IEU170" s="2242"/>
      <c r="IEV170" s="1360"/>
      <c r="IEW170" s="1360"/>
      <c r="IEX170" s="1360"/>
      <c r="IEY170" s="1360"/>
      <c r="IEZ170" s="1362"/>
      <c r="IFA170" s="955"/>
      <c r="IFB170" s="963"/>
      <c r="IFC170" s="2242"/>
      <c r="IFD170" s="1360"/>
      <c r="IFE170" s="1360"/>
      <c r="IFF170" s="1360"/>
      <c r="IFG170" s="1360"/>
      <c r="IFH170" s="1362"/>
      <c r="IFI170" s="955"/>
      <c r="IFJ170" s="963"/>
      <c r="IFK170" s="2242"/>
      <c r="IFL170" s="1360"/>
      <c r="IFM170" s="1360"/>
      <c r="IFN170" s="1360"/>
      <c r="IFO170" s="1360"/>
      <c r="IFP170" s="1362"/>
      <c r="IFQ170" s="955"/>
      <c r="IFR170" s="963"/>
      <c r="IFS170" s="2242"/>
      <c r="IFT170" s="1360"/>
      <c r="IFU170" s="1360"/>
      <c r="IFV170" s="1360"/>
      <c r="IFW170" s="1360"/>
      <c r="IFX170" s="1362"/>
      <c r="IFY170" s="955"/>
      <c r="IFZ170" s="963"/>
      <c r="IGA170" s="2242"/>
      <c r="IGB170" s="1360"/>
      <c r="IGC170" s="1360"/>
      <c r="IGD170" s="1360"/>
      <c r="IGE170" s="1360"/>
      <c r="IGF170" s="1362"/>
      <c r="IGG170" s="955"/>
      <c r="IGH170" s="963"/>
      <c r="IGI170" s="2242"/>
      <c r="IGJ170" s="1360"/>
      <c r="IGK170" s="1360"/>
      <c r="IGL170" s="1360"/>
      <c r="IGM170" s="1360"/>
      <c r="IGN170" s="1362"/>
      <c r="IGO170" s="955"/>
      <c r="IGP170" s="963"/>
      <c r="IGQ170" s="2242"/>
      <c r="IGR170" s="1360"/>
      <c r="IGS170" s="1360"/>
      <c r="IGT170" s="1360"/>
      <c r="IGU170" s="1360"/>
      <c r="IGV170" s="1362"/>
      <c r="IGW170" s="955"/>
      <c r="IGX170" s="963"/>
      <c r="IGY170" s="2242"/>
      <c r="IGZ170" s="1360"/>
      <c r="IHA170" s="1360"/>
      <c r="IHB170" s="1360"/>
      <c r="IHC170" s="1360"/>
      <c r="IHD170" s="1362"/>
      <c r="IHE170" s="955"/>
      <c r="IHF170" s="963"/>
      <c r="IHG170" s="2242"/>
      <c r="IHH170" s="1360"/>
      <c r="IHI170" s="1360"/>
      <c r="IHJ170" s="1360"/>
      <c r="IHK170" s="1360"/>
      <c r="IHL170" s="1362"/>
      <c r="IHM170" s="955"/>
      <c r="IHN170" s="963"/>
      <c r="IHO170" s="2242"/>
      <c r="IHP170" s="1360"/>
      <c r="IHQ170" s="1360"/>
      <c r="IHR170" s="1360"/>
      <c r="IHS170" s="1360"/>
      <c r="IHT170" s="1362"/>
      <c r="IHU170" s="955"/>
      <c r="IHV170" s="963"/>
      <c r="IHW170" s="2242"/>
      <c r="IHX170" s="1360"/>
      <c r="IHY170" s="1360"/>
      <c r="IHZ170" s="1360"/>
      <c r="IIA170" s="1360"/>
      <c r="IIB170" s="1362"/>
      <c r="IIC170" s="955"/>
      <c r="IID170" s="963"/>
      <c r="IIE170" s="2242"/>
      <c r="IIF170" s="1360"/>
      <c r="IIG170" s="1360"/>
      <c r="IIH170" s="1360"/>
      <c r="III170" s="1360"/>
      <c r="IIJ170" s="1362"/>
      <c r="IIK170" s="955"/>
      <c r="IIL170" s="963"/>
      <c r="IIM170" s="2242"/>
      <c r="IIN170" s="1360"/>
      <c r="IIO170" s="1360"/>
      <c r="IIP170" s="1360"/>
      <c r="IIQ170" s="1360"/>
      <c r="IIR170" s="1362"/>
      <c r="IIS170" s="955"/>
      <c r="IIT170" s="963"/>
      <c r="IIU170" s="2242"/>
      <c r="IIV170" s="1360"/>
      <c r="IIW170" s="1360"/>
      <c r="IIX170" s="1360"/>
      <c r="IIY170" s="1360"/>
      <c r="IIZ170" s="1362"/>
      <c r="IJA170" s="955"/>
      <c r="IJB170" s="963"/>
      <c r="IJC170" s="2242"/>
      <c r="IJD170" s="1360"/>
      <c r="IJE170" s="1360"/>
      <c r="IJF170" s="1360"/>
      <c r="IJG170" s="1360"/>
      <c r="IJH170" s="1362"/>
      <c r="IJI170" s="955"/>
      <c r="IJJ170" s="963"/>
      <c r="IJK170" s="2242"/>
      <c r="IJL170" s="1360"/>
      <c r="IJM170" s="1360"/>
      <c r="IJN170" s="1360"/>
      <c r="IJO170" s="1360"/>
      <c r="IJP170" s="1362"/>
      <c r="IJQ170" s="955"/>
      <c r="IJR170" s="963"/>
      <c r="IJS170" s="2242"/>
      <c r="IJT170" s="1360"/>
      <c r="IJU170" s="1360"/>
      <c r="IJV170" s="1360"/>
      <c r="IJW170" s="1360"/>
      <c r="IJX170" s="1362"/>
      <c r="IJY170" s="955"/>
      <c r="IJZ170" s="963"/>
      <c r="IKA170" s="2242"/>
      <c r="IKB170" s="1360"/>
      <c r="IKC170" s="1360"/>
      <c r="IKD170" s="1360"/>
      <c r="IKE170" s="1360"/>
      <c r="IKF170" s="1362"/>
      <c r="IKG170" s="955"/>
      <c r="IKH170" s="963"/>
      <c r="IKI170" s="2242"/>
      <c r="IKJ170" s="1360"/>
      <c r="IKK170" s="1360"/>
      <c r="IKL170" s="1360"/>
      <c r="IKM170" s="1360"/>
      <c r="IKN170" s="1362"/>
      <c r="IKO170" s="955"/>
      <c r="IKP170" s="963"/>
      <c r="IKQ170" s="2242"/>
      <c r="IKR170" s="1360"/>
      <c r="IKS170" s="1360"/>
      <c r="IKT170" s="1360"/>
      <c r="IKU170" s="1360"/>
      <c r="IKV170" s="1362"/>
      <c r="IKW170" s="955"/>
      <c r="IKX170" s="963"/>
      <c r="IKY170" s="2242"/>
      <c r="IKZ170" s="1360"/>
      <c r="ILA170" s="1360"/>
      <c r="ILB170" s="1360"/>
      <c r="ILC170" s="1360"/>
      <c r="ILD170" s="1362"/>
      <c r="ILE170" s="955"/>
      <c r="ILF170" s="963"/>
      <c r="ILG170" s="2242"/>
      <c r="ILH170" s="1360"/>
      <c r="ILI170" s="1360"/>
      <c r="ILJ170" s="1360"/>
      <c r="ILK170" s="1360"/>
      <c r="ILL170" s="1362"/>
      <c r="ILM170" s="955"/>
      <c r="ILN170" s="963"/>
      <c r="ILO170" s="2242"/>
      <c r="ILP170" s="1360"/>
      <c r="ILQ170" s="1360"/>
      <c r="ILR170" s="1360"/>
      <c r="ILS170" s="1360"/>
      <c r="ILT170" s="1362"/>
      <c r="ILU170" s="955"/>
      <c r="ILV170" s="963"/>
      <c r="ILW170" s="2242"/>
      <c r="ILX170" s="1360"/>
      <c r="ILY170" s="1360"/>
      <c r="ILZ170" s="1360"/>
      <c r="IMA170" s="1360"/>
      <c r="IMB170" s="1362"/>
      <c r="IMC170" s="955"/>
      <c r="IMD170" s="963"/>
      <c r="IME170" s="2242"/>
      <c r="IMF170" s="1360"/>
      <c r="IMG170" s="1360"/>
      <c r="IMH170" s="1360"/>
      <c r="IMI170" s="1360"/>
      <c r="IMJ170" s="1362"/>
      <c r="IMK170" s="955"/>
      <c r="IML170" s="963"/>
      <c r="IMM170" s="2242"/>
      <c r="IMN170" s="1360"/>
      <c r="IMO170" s="1360"/>
      <c r="IMP170" s="1360"/>
      <c r="IMQ170" s="1360"/>
      <c r="IMR170" s="1362"/>
      <c r="IMS170" s="955"/>
      <c r="IMT170" s="963"/>
      <c r="IMU170" s="2242"/>
      <c r="IMV170" s="1360"/>
      <c r="IMW170" s="1360"/>
      <c r="IMX170" s="1360"/>
      <c r="IMY170" s="1360"/>
      <c r="IMZ170" s="1362"/>
      <c r="INA170" s="955"/>
      <c r="INB170" s="963"/>
      <c r="INC170" s="2242"/>
      <c r="IND170" s="1360"/>
      <c r="INE170" s="1360"/>
      <c r="INF170" s="1360"/>
      <c r="ING170" s="1360"/>
      <c r="INH170" s="1362"/>
      <c r="INI170" s="955"/>
      <c r="INJ170" s="963"/>
      <c r="INK170" s="2242"/>
      <c r="INL170" s="1360"/>
      <c r="INM170" s="1360"/>
      <c r="INN170" s="1360"/>
      <c r="INO170" s="1360"/>
      <c r="INP170" s="1362"/>
      <c r="INQ170" s="955"/>
      <c r="INR170" s="963"/>
      <c r="INS170" s="2242"/>
      <c r="INT170" s="1360"/>
      <c r="INU170" s="1360"/>
      <c r="INV170" s="1360"/>
      <c r="INW170" s="1360"/>
      <c r="INX170" s="1362"/>
      <c r="INY170" s="955"/>
      <c r="INZ170" s="963"/>
      <c r="IOA170" s="2242"/>
      <c r="IOB170" s="1360"/>
      <c r="IOC170" s="1360"/>
      <c r="IOD170" s="1360"/>
      <c r="IOE170" s="1360"/>
      <c r="IOF170" s="1362"/>
      <c r="IOG170" s="955"/>
      <c r="IOH170" s="963"/>
      <c r="IOI170" s="2242"/>
      <c r="IOJ170" s="1360"/>
      <c r="IOK170" s="1360"/>
      <c r="IOL170" s="1360"/>
      <c r="IOM170" s="1360"/>
      <c r="ION170" s="1362"/>
      <c r="IOO170" s="955"/>
      <c r="IOP170" s="963"/>
      <c r="IOQ170" s="2242"/>
      <c r="IOR170" s="1360"/>
      <c r="IOS170" s="1360"/>
      <c r="IOT170" s="1360"/>
      <c r="IOU170" s="1360"/>
      <c r="IOV170" s="1362"/>
      <c r="IOW170" s="955"/>
      <c r="IOX170" s="963"/>
      <c r="IOY170" s="2242"/>
      <c r="IOZ170" s="1360"/>
      <c r="IPA170" s="1360"/>
      <c r="IPB170" s="1360"/>
      <c r="IPC170" s="1360"/>
      <c r="IPD170" s="1362"/>
      <c r="IPE170" s="955"/>
      <c r="IPF170" s="963"/>
      <c r="IPG170" s="2242"/>
      <c r="IPH170" s="1360"/>
      <c r="IPI170" s="1360"/>
      <c r="IPJ170" s="1360"/>
      <c r="IPK170" s="1360"/>
      <c r="IPL170" s="1362"/>
      <c r="IPM170" s="955"/>
      <c r="IPN170" s="963"/>
      <c r="IPO170" s="2242"/>
      <c r="IPP170" s="1360"/>
      <c r="IPQ170" s="1360"/>
      <c r="IPR170" s="1360"/>
      <c r="IPS170" s="1360"/>
      <c r="IPT170" s="1362"/>
      <c r="IPU170" s="955"/>
      <c r="IPV170" s="963"/>
      <c r="IPW170" s="2242"/>
      <c r="IPX170" s="1360"/>
      <c r="IPY170" s="1360"/>
      <c r="IPZ170" s="1360"/>
      <c r="IQA170" s="1360"/>
      <c r="IQB170" s="1362"/>
      <c r="IQC170" s="955"/>
      <c r="IQD170" s="963"/>
      <c r="IQE170" s="2242"/>
      <c r="IQF170" s="1360"/>
      <c r="IQG170" s="1360"/>
      <c r="IQH170" s="1360"/>
      <c r="IQI170" s="1360"/>
      <c r="IQJ170" s="1362"/>
      <c r="IQK170" s="955"/>
      <c r="IQL170" s="963"/>
      <c r="IQM170" s="2242"/>
      <c r="IQN170" s="1360"/>
      <c r="IQO170" s="1360"/>
      <c r="IQP170" s="1360"/>
      <c r="IQQ170" s="1360"/>
      <c r="IQR170" s="1362"/>
      <c r="IQS170" s="955"/>
      <c r="IQT170" s="963"/>
      <c r="IQU170" s="2242"/>
      <c r="IQV170" s="1360"/>
      <c r="IQW170" s="1360"/>
      <c r="IQX170" s="1360"/>
      <c r="IQY170" s="1360"/>
      <c r="IQZ170" s="1362"/>
      <c r="IRA170" s="955"/>
      <c r="IRB170" s="963"/>
      <c r="IRC170" s="2242"/>
      <c r="IRD170" s="1360"/>
      <c r="IRE170" s="1360"/>
      <c r="IRF170" s="1360"/>
      <c r="IRG170" s="1360"/>
      <c r="IRH170" s="1362"/>
      <c r="IRI170" s="955"/>
      <c r="IRJ170" s="963"/>
      <c r="IRK170" s="2242"/>
      <c r="IRL170" s="1360"/>
      <c r="IRM170" s="1360"/>
      <c r="IRN170" s="1360"/>
      <c r="IRO170" s="1360"/>
      <c r="IRP170" s="1362"/>
      <c r="IRQ170" s="955"/>
      <c r="IRR170" s="963"/>
      <c r="IRS170" s="2242"/>
      <c r="IRT170" s="1360"/>
      <c r="IRU170" s="1360"/>
      <c r="IRV170" s="1360"/>
      <c r="IRW170" s="1360"/>
      <c r="IRX170" s="1362"/>
      <c r="IRY170" s="955"/>
      <c r="IRZ170" s="963"/>
      <c r="ISA170" s="2242"/>
      <c r="ISB170" s="1360"/>
      <c r="ISC170" s="1360"/>
      <c r="ISD170" s="1360"/>
      <c r="ISE170" s="1360"/>
      <c r="ISF170" s="1362"/>
      <c r="ISG170" s="955"/>
      <c r="ISH170" s="963"/>
      <c r="ISI170" s="2242"/>
      <c r="ISJ170" s="1360"/>
      <c r="ISK170" s="1360"/>
      <c r="ISL170" s="1360"/>
      <c r="ISM170" s="1360"/>
      <c r="ISN170" s="1362"/>
      <c r="ISO170" s="955"/>
      <c r="ISP170" s="963"/>
      <c r="ISQ170" s="2242"/>
      <c r="ISR170" s="1360"/>
      <c r="ISS170" s="1360"/>
      <c r="IST170" s="1360"/>
      <c r="ISU170" s="1360"/>
      <c r="ISV170" s="1362"/>
      <c r="ISW170" s="955"/>
      <c r="ISX170" s="963"/>
      <c r="ISY170" s="2242"/>
      <c r="ISZ170" s="1360"/>
      <c r="ITA170" s="1360"/>
      <c r="ITB170" s="1360"/>
      <c r="ITC170" s="1360"/>
      <c r="ITD170" s="1362"/>
      <c r="ITE170" s="955"/>
      <c r="ITF170" s="963"/>
      <c r="ITG170" s="2242"/>
      <c r="ITH170" s="1360"/>
      <c r="ITI170" s="1360"/>
      <c r="ITJ170" s="1360"/>
      <c r="ITK170" s="1360"/>
      <c r="ITL170" s="1362"/>
      <c r="ITM170" s="955"/>
      <c r="ITN170" s="963"/>
      <c r="ITO170" s="2242"/>
      <c r="ITP170" s="1360"/>
      <c r="ITQ170" s="1360"/>
      <c r="ITR170" s="1360"/>
      <c r="ITS170" s="1360"/>
      <c r="ITT170" s="1362"/>
      <c r="ITU170" s="955"/>
      <c r="ITV170" s="963"/>
      <c r="ITW170" s="2242"/>
      <c r="ITX170" s="1360"/>
      <c r="ITY170" s="1360"/>
      <c r="ITZ170" s="1360"/>
      <c r="IUA170" s="1360"/>
      <c r="IUB170" s="1362"/>
      <c r="IUC170" s="955"/>
      <c r="IUD170" s="963"/>
      <c r="IUE170" s="2242"/>
      <c r="IUF170" s="1360"/>
      <c r="IUG170" s="1360"/>
      <c r="IUH170" s="1360"/>
      <c r="IUI170" s="1360"/>
      <c r="IUJ170" s="1362"/>
      <c r="IUK170" s="955"/>
      <c r="IUL170" s="963"/>
      <c r="IUM170" s="2242"/>
      <c r="IUN170" s="1360"/>
      <c r="IUO170" s="1360"/>
      <c r="IUP170" s="1360"/>
      <c r="IUQ170" s="1360"/>
      <c r="IUR170" s="1362"/>
      <c r="IUS170" s="955"/>
      <c r="IUT170" s="963"/>
      <c r="IUU170" s="2242"/>
      <c r="IUV170" s="1360"/>
      <c r="IUW170" s="1360"/>
      <c r="IUX170" s="1360"/>
      <c r="IUY170" s="1360"/>
      <c r="IUZ170" s="1362"/>
      <c r="IVA170" s="955"/>
      <c r="IVB170" s="963"/>
      <c r="IVC170" s="2242"/>
      <c r="IVD170" s="1360"/>
      <c r="IVE170" s="1360"/>
      <c r="IVF170" s="1360"/>
      <c r="IVG170" s="1360"/>
      <c r="IVH170" s="1362"/>
      <c r="IVI170" s="955"/>
      <c r="IVJ170" s="963"/>
      <c r="IVK170" s="2242"/>
      <c r="IVL170" s="1360"/>
      <c r="IVM170" s="1360"/>
      <c r="IVN170" s="1360"/>
      <c r="IVO170" s="1360"/>
      <c r="IVP170" s="1362"/>
      <c r="IVQ170" s="955"/>
      <c r="IVR170" s="963"/>
      <c r="IVS170" s="2242"/>
      <c r="IVT170" s="1360"/>
      <c r="IVU170" s="1360"/>
      <c r="IVV170" s="1360"/>
      <c r="IVW170" s="1360"/>
      <c r="IVX170" s="1362"/>
      <c r="IVY170" s="955"/>
      <c r="IVZ170" s="963"/>
      <c r="IWA170" s="2242"/>
      <c r="IWB170" s="1360"/>
      <c r="IWC170" s="1360"/>
      <c r="IWD170" s="1360"/>
      <c r="IWE170" s="1360"/>
      <c r="IWF170" s="1362"/>
      <c r="IWG170" s="955"/>
      <c r="IWH170" s="963"/>
      <c r="IWI170" s="2242"/>
      <c r="IWJ170" s="1360"/>
      <c r="IWK170" s="1360"/>
      <c r="IWL170" s="1360"/>
      <c r="IWM170" s="1360"/>
      <c r="IWN170" s="1362"/>
      <c r="IWO170" s="955"/>
      <c r="IWP170" s="963"/>
      <c r="IWQ170" s="2242"/>
      <c r="IWR170" s="1360"/>
      <c r="IWS170" s="1360"/>
      <c r="IWT170" s="1360"/>
      <c r="IWU170" s="1360"/>
      <c r="IWV170" s="1362"/>
      <c r="IWW170" s="955"/>
      <c r="IWX170" s="963"/>
      <c r="IWY170" s="2242"/>
      <c r="IWZ170" s="1360"/>
      <c r="IXA170" s="1360"/>
      <c r="IXB170" s="1360"/>
      <c r="IXC170" s="1360"/>
      <c r="IXD170" s="1362"/>
      <c r="IXE170" s="955"/>
      <c r="IXF170" s="963"/>
      <c r="IXG170" s="2242"/>
      <c r="IXH170" s="1360"/>
      <c r="IXI170" s="1360"/>
      <c r="IXJ170" s="1360"/>
      <c r="IXK170" s="1360"/>
      <c r="IXL170" s="1362"/>
      <c r="IXM170" s="955"/>
      <c r="IXN170" s="963"/>
      <c r="IXO170" s="2242"/>
      <c r="IXP170" s="1360"/>
      <c r="IXQ170" s="1360"/>
      <c r="IXR170" s="1360"/>
      <c r="IXS170" s="1360"/>
      <c r="IXT170" s="1362"/>
      <c r="IXU170" s="955"/>
      <c r="IXV170" s="963"/>
      <c r="IXW170" s="2242"/>
      <c r="IXX170" s="1360"/>
      <c r="IXY170" s="1360"/>
      <c r="IXZ170" s="1360"/>
      <c r="IYA170" s="1360"/>
      <c r="IYB170" s="1362"/>
      <c r="IYC170" s="955"/>
      <c r="IYD170" s="963"/>
      <c r="IYE170" s="2242"/>
      <c r="IYF170" s="1360"/>
      <c r="IYG170" s="1360"/>
      <c r="IYH170" s="1360"/>
      <c r="IYI170" s="1360"/>
      <c r="IYJ170" s="1362"/>
      <c r="IYK170" s="955"/>
      <c r="IYL170" s="963"/>
      <c r="IYM170" s="2242"/>
      <c r="IYN170" s="1360"/>
      <c r="IYO170" s="1360"/>
      <c r="IYP170" s="1360"/>
      <c r="IYQ170" s="1360"/>
      <c r="IYR170" s="1362"/>
      <c r="IYS170" s="955"/>
      <c r="IYT170" s="963"/>
      <c r="IYU170" s="2242"/>
      <c r="IYV170" s="1360"/>
      <c r="IYW170" s="1360"/>
      <c r="IYX170" s="1360"/>
      <c r="IYY170" s="1360"/>
      <c r="IYZ170" s="1362"/>
      <c r="IZA170" s="955"/>
      <c r="IZB170" s="963"/>
      <c r="IZC170" s="2242"/>
      <c r="IZD170" s="1360"/>
      <c r="IZE170" s="1360"/>
      <c r="IZF170" s="1360"/>
      <c r="IZG170" s="1360"/>
      <c r="IZH170" s="1362"/>
      <c r="IZI170" s="955"/>
      <c r="IZJ170" s="963"/>
      <c r="IZK170" s="2242"/>
      <c r="IZL170" s="1360"/>
      <c r="IZM170" s="1360"/>
      <c r="IZN170" s="1360"/>
      <c r="IZO170" s="1360"/>
      <c r="IZP170" s="1362"/>
      <c r="IZQ170" s="955"/>
      <c r="IZR170" s="963"/>
      <c r="IZS170" s="2242"/>
      <c r="IZT170" s="1360"/>
      <c r="IZU170" s="1360"/>
      <c r="IZV170" s="1360"/>
      <c r="IZW170" s="1360"/>
      <c r="IZX170" s="1362"/>
      <c r="IZY170" s="955"/>
      <c r="IZZ170" s="963"/>
      <c r="JAA170" s="2242"/>
      <c r="JAB170" s="1360"/>
      <c r="JAC170" s="1360"/>
      <c r="JAD170" s="1360"/>
      <c r="JAE170" s="1360"/>
      <c r="JAF170" s="1362"/>
      <c r="JAG170" s="955"/>
      <c r="JAH170" s="963"/>
      <c r="JAI170" s="2242"/>
      <c r="JAJ170" s="1360"/>
      <c r="JAK170" s="1360"/>
      <c r="JAL170" s="1360"/>
      <c r="JAM170" s="1360"/>
      <c r="JAN170" s="1362"/>
      <c r="JAO170" s="955"/>
      <c r="JAP170" s="963"/>
      <c r="JAQ170" s="2242"/>
      <c r="JAR170" s="1360"/>
      <c r="JAS170" s="1360"/>
      <c r="JAT170" s="1360"/>
      <c r="JAU170" s="1360"/>
      <c r="JAV170" s="1362"/>
      <c r="JAW170" s="955"/>
      <c r="JAX170" s="963"/>
      <c r="JAY170" s="2242"/>
      <c r="JAZ170" s="1360"/>
      <c r="JBA170" s="1360"/>
      <c r="JBB170" s="1360"/>
      <c r="JBC170" s="1360"/>
      <c r="JBD170" s="1362"/>
      <c r="JBE170" s="955"/>
      <c r="JBF170" s="963"/>
      <c r="JBG170" s="2242"/>
      <c r="JBH170" s="1360"/>
      <c r="JBI170" s="1360"/>
      <c r="JBJ170" s="1360"/>
      <c r="JBK170" s="1360"/>
      <c r="JBL170" s="1362"/>
      <c r="JBM170" s="955"/>
      <c r="JBN170" s="963"/>
      <c r="JBO170" s="2242"/>
      <c r="JBP170" s="1360"/>
      <c r="JBQ170" s="1360"/>
      <c r="JBR170" s="1360"/>
      <c r="JBS170" s="1360"/>
      <c r="JBT170" s="1362"/>
      <c r="JBU170" s="955"/>
      <c r="JBV170" s="963"/>
      <c r="JBW170" s="2242"/>
      <c r="JBX170" s="1360"/>
      <c r="JBY170" s="1360"/>
      <c r="JBZ170" s="1360"/>
      <c r="JCA170" s="1360"/>
      <c r="JCB170" s="1362"/>
      <c r="JCC170" s="955"/>
      <c r="JCD170" s="963"/>
      <c r="JCE170" s="2242"/>
      <c r="JCF170" s="1360"/>
      <c r="JCG170" s="1360"/>
      <c r="JCH170" s="1360"/>
      <c r="JCI170" s="1360"/>
      <c r="JCJ170" s="1362"/>
      <c r="JCK170" s="955"/>
      <c r="JCL170" s="963"/>
      <c r="JCM170" s="2242"/>
      <c r="JCN170" s="1360"/>
      <c r="JCO170" s="1360"/>
      <c r="JCP170" s="1360"/>
      <c r="JCQ170" s="1360"/>
      <c r="JCR170" s="1362"/>
      <c r="JCS170" s="955"/>
      <c r="JCT170" s="963"/>
      <c r="JCU170" s="2242"/>
      <c r="JCV170" s="1360"/>
      <c r="JCW170" s="1360"/>
      <c r="JCX170" s="1360"/>
      <c r="JCY170" s="1360"/>
      <c r="JCZ170" s="1362"/>
      <c r="JDA170" s="955"/>
      <c r="JDB170" s="963"/>
      <c r="JDC170" s="2242"/>
      <c r="JDD170" s="1360"/>
      <c r="JDE170" s="1360"/>
      <c r="JDF170" s="1360"/>
      <c r="JDG170" s="1360"/>
      <c r="JDH170" s="1362"/>
      <c r="JDI170" s="955"/>
      <c r="JDJ170" s="963"/>
      <c r="JDK170" s="2242"/>
      <c r="JDL170" s="1360"/>
      <c r="JDM170" s="1360"/>
      <c r="JDN170" s="1360"/>
      <c r="JDO170" s="1360"/>
      <c r="JDP170" s="1362"/>
      <c r="JDQ170" s="955"/>
      <c r="JDR170" s="963"/>
      <c r="JDS170" s="2242"/>
      <c r="JDT170" s="1360"/>
      <c r="JDU170" s="1360"/>
      <c r="JDV170" s="1360"/>
      <c r="JDW170" s="1360"/>
      <c r="JDX170" s="1362"/>
      <c r="JDY170" s="955"/>
      <c r="JDZ170" s="963"/>
      <c r="JEA170" s="2242"/>
      <c r="JEB170" s="1360"/>
      <c r="JEC170" s="1360"/>
      <c r="JED170" s="1360"/>
      <c r="JEE170" s="1360"/>
      <c r="JEF170" s="1362"/>
      <c r="JEG170" s="955"/>
      <c r="JEH170" s="963"/>
      <c r="JEI170" s="2242"/>
      <c r="JEJ170" s="1360"/>
      <c r="JEK170" s="1360"/>
      <c r="JEL170" s="1360"/>
      <c r="JEM170" s="1360"/>
      <c r="JEN170" s="1362"/>
      <c r="JEO170" s="955"/>
      <c r="JEP170" s="963"/>
      <c r="JEQ170" s="2242"/>
      <c r="JER170" s="1360"/>
      <c r="JES170" s="1360"/>
      <c r="JET170" s="1360"/>
      <c r="JEU170" s="1360"/>
      <c r="JEV170" s="1362"/>
      <c r="JEW170" s="955"/>
      <c r="JEX170" s="963"/>
      <c r="JEY170" s="2242"/>
      <c r="JEZ170" s="1360"/>
      <c r="JFA170" s="1360"/>
      <c r="JFB170" s="1360"/>
      <c r="JFC170" s="1360"/>
      <c r="JFD170" s="1362"/>
      <c r="JFE170" s="955"/>
      <c r="JFF170" s="963"/>
      <c r="JFG170" s="2242"/>
      <c r="JFH170" s="1360"/>
      <c r="JFI170" s="1360"/>
      <c r="JFJ170" s="1360"/>
      <c r="JFK170" s="1360"/>
      <c r="JFL170" s="1362"/>
      <c r="JFM170" s="955"/>
      <c r="JFN170" s="963"/>
      <c r="JFO170" s="2242"/>
      <c r="JFP170" s="1360"/>
      <c r="JFQ170" s="1360"/>
      <c r="JFR170" s="1360"/>
      <c r="JFS170" s="1360"/>
      <c r="JFT170" s="1362"/>
      <c r="JFU170" s="955"/>
      <c r="JFV170" s="963"/>
      <c r="JFW170" s="2242"/>
      <c r="JFX170" s="1360"/>
      <c r="JFY170" s="1360"/>
      <c r="JFZ170" s="1360"/>
      <c r="JGA170" s="1360"/>
      <c r="JGB170" s="1362"/>
      <c r="JGC170" s="955"/>
      <c r="JGD170" s="963"/>
      <c r="JGE170" s="2242"/>
      <c r="JGF170" s="1360"/>
      <c r="JGG170" s="1360"/>
      <c r="JGH170" s="1360"/>
      <c r="JGI170" s="1360"/>
      <c r="JGJ170" s="1362"/>
      <c r="JGK170" s="955"/>
      <c r="JGL170" s="963"/>
      <c r="JGM170" s="2242"/>
      <c r="JGN170" s="1360"/>
      <c r="JGO170" s="1360"/>
      <c r="JGP170" s="1360"/>
      <c r="JGQ170" s="1360"/>
      <c r="JGR170" s="1362"/>
      <c r="JGS170" s="955"/>
      <c r="JGT170" s="963"/>
      <c r="JGU170" s="2242"/>
      <c r="JGV170" s="1360"/>
      <c r="JGW170" s="1360"/>
      <c r="JGX170" s="1360"/>
      <c r="JGY170" s="1360"/>
      <c r="JGZ170" s="1362"/>
      <c r="JHA170" s="955"/>
      <c r="JHB170" s="963"/>
      <c r="JHC170" s="2242"/>
      <c r="JHD170" s="1360"/>
      <c r="JHE170" s="1360"/>
      <c r="JHF170" s="1360"/>
      <c r="JHG170" s="1360"/>
      <c r="JHH170" s="1362"/>
      <c r="JHI170" s="955"/>
      <c r="JHJ170" s="963"/>
      <c r="JHK170" s="2242"/>
      <c r="JHL170" s="1360"/>
      <c r="JHM170" s="1360"/>
      <c r="JHN170" s="1360"/>
      <c r="JHO170" s="1360"/>
      <c r="JHP170" s="1362"/>
      <c r="JHQ170" s="955"/>
      <c r="JHR170" s="963"/>
      <c r="JHS170" s="2242"/>
      <c r="JHT170" s="1360"/>
      <c r="JHU170" s="1360"/>
      <c r="JHV170" s="1360"/>
      <c r="JHW170" s="1360"/>
      <c r="JHX170" s="1362"/>
      <c r="JHY170" s="955"/>
      <c r="JHZ170" s="963"/>
      <c r="JIA170" s="2242"/>
      <c r="JIB170" s="1360"/>
      <c r="JIC170" s="1360"/>
      <c r="JID170" s="1360"/>
      <c r="JIE170" s="1360"/>
      <c r="JIF170" s="1362"/>
      <c r="JIG170" s="955"/>
      <c r="JIH170" s="963"/>
      <c r="JII170" s="2242"/>
      <c r="JIJ170" s="1360"/>
      <c r="JIK170" s="1360"/>
      <c r="JIL170" s="1360"/>
      <c r="JIM170" s="1360"/>
      <c r="JIN170" s="1362"/>
      <c r="JIO170" s="955"/>
      <c r="JIP170" s="963"/>
      <c r="JIQ170" s="2242"/>
      <c r="JIR170" s="1360"/>
      <c r="JIS170" s="1360"/>
      <c r="JIT170" s="1360"/>
      <c r="JIU170" s="1360"/>
      <c r="JIV170" s="1362"/>
      <c r="JIW170" s="955"/>
      <c r="JIX170" s="963"/>
      <c r="JIY170" s="2242"/>
      <c r="JIZ170" s="1360"/>
      <c r="JJA170" s="1360"/>
      <c r="JJB170" s="1360"/>
      <c r="JJC170" s="1360"/>
      <c r="JJD170" s="1362"/>
      <c r="JJE170" s="955"/>
      <c r="JJF170" s="963"/>
      <c r="JJG170" s="2242"/>
      <c r="JJH170" s="1360"/>
      <c r="JJI170" s="1360"/>
      <c r="JJJ170" s="1360"/>
      <c r="JJK170" s="1360"/>
      <c r="JJL170" s="1362"/>
      <c r="JJM170" s="955"/>
      <c r="JJN170" s="963"/>
      <c r="JJO170" s="2242"/>
      <c r="JJP170" s="1360"/>
      <c r="JJQ170" s="1360"/>
      <c r="JJR170" s="1360"/>
      <c r="JJS170" s="1360"/>
      <c r="JJT170" s="1362"/>
      <c r="JJU170" s="955"/>
      <c r="JJV170" s="963"/>
      <c r="JJW170" s="2242"/>
      <c r="JJX170" s="1360"/>
      <c r="JJY170" s="1360"/>
      <c r="JJZ170" s="1360"/>
      <c r="JKA170" s="1360"/>
      <c r="JKB170" s="1362"/>
      <c r="JKC170" s="955"/>
      <c r="JKD170" s="963"/>
      <c r="JKE170" s="2242"/>
      <c r="JKF170" s="1360"/>
      <c r="JKG170" s="1360"/>
      <c r="JKH170" s="1360"/>
      <c r="JKI170" s="1360"/>
      <c r="JKJ170" s="1362"/>
      <c r="JKK170" s="955"/>
      <c r="JKL170" s="963"/>
      <c r="JKM170" s="2242"/>
      <c r="JKN170" s="1360"/>
      <c r="JKO170" s="1360"/>
      <c r="JKP170" s="1360"/>
      <c r="JKQ170" s="1360"/>
      <c r="JKR170" s="1362"/>
      <c r="JKS170" s="955"/>
      <c r="JKT170" s="963"/>
      <c r="JKU170" s="2242"/>
      <c r="JKV170" s="1360"/>
      <c r="JKW170" s="1360"/>
      <c r="JKX170" s="1360"/>
      <c r="JKY170" s="1360"/>
      <c r="JKZ170" s="1362"/>
      <c r="JLA170" s="955"/>
      <c r="JLB170" s="963"/>
      <c r="JLC170" s="2242"/>
      <c r="JLD170" s="1360"/>
      <c r="JLE170" s="1360"/>
      <c r="JLF170" s="1360"/>
      <c r="JLG170" s="1360"/>
      <c r="JLH170" s="1362"/>
      <c r="JLI170" s="955"/>
      <c r="JLJ170" s="963"/>
      <c r="JLK170" s="2242"/>
      <c r="JLL170" s="1360"/>
      <c r="JLM170" s="1360"/>
      <c r="JLN170" s="1360"/>
      <c r="JLO170" s="1360"/>
      <c r="JLP170" s="1362"/>
      <c r="JLQ170" s="955"/>
      <c r="JLR170" s="963"/>
      <c r="JLS170" s="2242"/>
      <c r="JLT170" s="1360"/>
      <c r="JLU170" s="1360"/>
      <c r="JLV170" s="1360"/>
      <c r="JLW170" s="1360"/>
      <c r="JLX170" s="1362"/>
      <c r="JLY170" s="955"/>
      <c r="JLZ170" s="963"/>
      <c r="JMA170" s="2242"/>
      <c r="JMB170" s="1360"/>
      <c r="JMC170" s="1360"/>
      <c r="JMD170" s="1360"/>
      <c r="JME170" s="1360"/>
      <c r="JMF170" s="1362"/>
      <c r="JMG170" s="955"/>
      <c r="JMH170" s="963"/>
      <c r="JMI170" s="2242"/>
      <c r="JMJ170" s="1360"/>
      <c r="JMK170" s="1360"/>
      <c r="JML170" s="1360"/>
      <c r="JMM170" s="1360"/>
      <c r="JMN170" s="1362"/>
      <c r="JMO170" s="955"/>
      <c r="JMP170" s="963"/>
      <c r="JMQ170" s="2242"/>
      <c r="JMR170" s="1360"/>
      <c r="JMS170" s="1360"/>
      <c r="JMT170" s="1360"/>
      <c r="JMU170" s="1360"/>
      <c r="JMV170" s="1362"/>
      <c r="JMW170" s="955"/>
      <c r="JMX170" s="963"/>
      <c r="JMY170" s="2242"/>
      <c r="JMZ170" s="1360"/>
      <c r="JNA170" s="1360"/>
      <c r="JNB170" s="1360"/>
      <c r="JNC170" s="1360"/>
      <c r="JND170" s="1362"/>
      <c r="JNE170" s="955"/>
      <c r="JNF170" s="963"/>
      <c r="JNG170" s="2242"/>
      <c r="JNH170" s="1360"/>
      <c r="JNI170" s="1360"/>
      <c r="JNJ170" s="1360"/>
      <c r="JNK170" s="1360"/>
      <c r="JNL170" s="1362"/>
      <c r="JNM170" s="955"/>
      <c r="JNN170" s="963"/>
      <c r="JNO170" s="2242"/>
      <c r="JNP170" s="1360"/>
      <c r="JNQ170" s="1360"/>
      <c r="JNR170" s="1360"/>
      <c r="JNS170" s="1360"/>
      <c r="JNT170" s="1362"/>
      <c r="JNU170" s="955"/>
      <c r="JNV170" s="963"/>
      <c r="JNW170" s="2242"/>
      <c r="JNX170" s="1360"/>
      <c r="JNY170" s="1360"/>
      <c r="JNZ170" s="1360"/>
      <c r="JOA170" s="1360"/>
      <c r="JOB170" s="1362"/>
      <c r="JOC170" s="955"/>
      <c r="JOD170" s="963"/>
      <c r="JOE170" s="2242"/>
      <c r="JOF170" s="1360"/>
      <c r="JOG170" s="1360"/>
      <c r="JOH170" s="1360"/>
      <c r="JOI170" s="1360"/>
      <c r="JOJ170" s="1362"/>
      <c r="JOK170" s="955"/>
      <c r="JOL170" s="963"/>
      <c r="JOM170" s="2242"/>
      <c r="JON170" s="1360"/>
      <c r="JOO170" s="1360"/>
      <c r="JOP170" s="1360"/>
      <c r="JOQ170" s="1360"/>
      <c r="JOR170" s="1362"/>
      <c r="JOS170" s="955"/>
      <c r="JOT170" s="963"/>
      <c r="JOU170" s="2242"/>
      <c r="JOV170" s="1360"/>
      <c r="JOW170" s="1360"/>
      <c r="JOX170" s="1360"/>
      <c r="JOY170" s="1360"/>
      <c r="JOZ170" s="1362"/>
      <c r="JPA170" s="955"/>
      <c r="JPB170" s="963"/>
      <c r="JPC170" s="2242"/>
      <c r="JPD170" s="1360"/>
      <c r="JPE170" s="1360"/>
      <c r="JPF170" s="1360"/>
      <c r="JPG170" s="1360"/>
      <c r="JPH170" s="1362"/>
      <c r="JPI170" s="955"/>
      <c r="JPJ170" s="963"/>
      <c r="JPK170" s="2242"/>
      <c r="JPL170" s="1360"/>
      <c r="JPM170" s="1360"/>
      <c r="JPN170" s="1360"/>
      <c r="JPO170" s="1360"/>
      <c r="JPP170" s="1362"/>
      <c r="JPQ170" s="955"/>
      <c r="JPR170" s="963"/>
      <c r="JPS170" s="2242"/>
      <c r="JPT170" s="1360"/>
      <c r="JPU170" s="1360"/>
      <c r="JPV170" s="1360"/>
      <c r="JPW170" s="1360"/>
      <c r="JPX170" s="1362"/>
      <c r="JPY170" s="955"/>
      <c r="JPZ170" s="963"/>
      <c r="JQA170" s="2242"/>
      <c r="JQB170" s="1360"/>
      <c r="JQC170" s="1360"/>
      <c r="JQD170" s="1360"/>
      <c r="JQE170" s="1360"/>
      <c r="JQF170" s="1362"/>
      <c r="JQG170" s="955"/>
      <c r="JQH170" s="963"/>
      <c r="JQI170" s="2242"/>
      <c r="JQJ170" s="1360"/>
      <c r="JQK170" s="1360"/>
      <c r="JQL170" s="1360"/>
      <c r="JQM170" s="1360"/>
      <c r="JQN170" s="1362"/>
      <c r="JQO170" s="955"/>
      <c r="JQP170" s="963"/>
      <c r="JQQ170" s="2242"/>
      <c r="JQR170" s="1360"/>
      <c r="JQS170" s="1360"/>
      <c r="JQT170" s="1360"/>
      <c r="JQU170" s="1360"/>
      <c r="JQV170" s="1362"/>
      <c r="JQW170" s="955"/>
      <c r="JQX170" s="963"/>
      <c r="JQY170" s="2242"/>
      <c r="JQZ170" s="1360"/>
      <c r="JRA170" s="1360"/>
      <c r="JRB170" s="1360"/>
      <c r="JRC170" s="1360"/>
      <c r="JRD170" s="1362"/>
      <c r="JRE170" s="955"/>
      <c r="JRF170" s="963"/>
      <c r="JRG170" s="2242"/>
      <c r="JRH170" s="1360"/>
      <c r="JRI170" s="1360"/>
      <c r="JRJ170" s="1360"/>
      <c r="JRK170" s="1360"/>
      <c r="JRL170" s="1362"/>
      <c r="JRM170" s="955"/>
      <c r="JRN170" s="963"/>
      <c r="JRO170" s="2242"/>
      <c r="JRP170" s="1360"/>
      <c r="JRQ170" s="1360"/>
      <c r="JRR170" s="1360"/>
      <c r="JRS170" s="1360"/>
      <c r="JRT170" s="1362"/>
      <c r="JRU170" s="955"/>
      <c r="JRV170" s="963"/>
      <c r="JRW170" s="2242"/>
      <c r="JRX170" s="1360"/>
      <c r="JRY170" s="1360"/>
      <c r="JRZ170" s="1360"/>
      <c r="JSA170" s="1360"/>
      <c r="JSB170" s="1362"/>
      <c r="JSC170" s="955"/>
      <c r="JSD170" s="963"/>
      <c r="JSE170" s="2242"/>
      <c r="JSF170" s="1360"/>
      <c r="JSG170" s="1360"/>
      <c r="JSH170" s="1360"/>
      <c r="JSI170" s="1360"/>
      <c r="JSJ170" s="1362"/>
      <c r="JSK170" s="955"/>
      <c r="JSL170" s="963"/>
      <c r="JSM170" s="2242"/>
      <c r="JSN170" s="1360"/>
      <c r="JSO170" s="1360"/>
      <c r="JSP170" s="1360"/>
      <c r="JSQ170" s="1360"/>
      <c r="JSR170" s="1362"/>
      <c r="JSS170" s="955"/>
      <c r="JST170" s="963"/>
      <c r="JSU170" s="2242"/>
      <c r="JSV170" s="1360"/>
      <c r="JSW170" s="1360"/>
      <c r="JSX170" s="1360"/>
      <c r="JSY170" s="1360"/>
      <c r="JSZ170" s="1362"/>
      <c r="JTA170" s="955"/>
      <c r="JTB170" s="963"/>
      <c r="JTC170" s="2242"/>
      <c r="JTD170" s="1360"/>
      <c r="JTE170" s="1360"/>
      <c r="JTF170" s="1360"/>
      <c r="JTG170" s="1360"/>
      <c r="JTH170" s="1362"/>
      <c r="JTI170" s="955"/>
      <c r="JTJ170" s="963"/>
      <c r="JTK170" s="2242"/>
      <c r="JTL170" s="1360"/>
      <c r="JTM170" s="1360"/>
      <c r="JTN170" s="1360"/>
      <c r="JTO170" s="1360"/>
      <c r="JTP170" s="1362"/>
      <c r="JTQ170" s="955"/>
      <c r="JTR170" s="963"/>
      <c r="JTS170" s="2242"/>
      <c r="JTT170" s="1360"/>
      <c r="JTU170" s="1360"/>
      <c r="JTV170" s="1360"/>
      <c r="JTW170" s="1360"/>
      <c r="JTX170" s="1362"/>
      <c r="JTY170" s="955"/>
      <c r="JTZ170" s="963"/>
      <c r="JUA170" s="2242"/>
      <c r="JUB170" s="1360"/>
      <c r="JUC170" s="1360"/>
      <c r="JUD170" s="1360"/>
      <c r="JUE170" s="1360"/>
      <c r="JUF170" s="1362"/>
      <c r="JUG170" s="955"/>
      <c r="JUH170" s="963"/>
      <c r="JUI170" s="2242"/>
      <c r="JUJ170" s="1360"/>
      <c r="JUK170" s="1360"/>
      <c r="JUL170" s="1360"/>
      <c r="JUM170" s="1360"/>
      <c r="JUN170" s="1362"/>
      <c r="JUO170" s="955"/>
      <c r="JUP170" s="963"/>
      <c r="JUQ170" s="2242"/>
      <c r="JUR170" s="1360"/>
      <c r="JUS170" s="1360"/>
      <c r="JUT170" s="1360"/>
      <c r="JUU170" s="1360"/>
      <c r="JUV170" s="1362"/>
      <c r="JUW170" s="955"/>
      <c r="JUX170" s="963"/>
      <c r="JUY170" s="2242"/>
      <c r="JUZ170" s="1360"/>
      <c r="JVA170" s="1360"/>
      <c r="JVB170" s="1360"/>
      <c r="JVC170" s="1360"/>
      <c r="JVD170" s="1362"/>
      <c r="JVE170" s="955"/>
      <c r="JVF170" s="963"/>
      <c r="JVG170" s="2242"/>
      <c r="JVH170" s="1360"/>
      <c r="JVI170" s="1360"/>
      <c r="JVJ170" s="1360"/>
      <c r="JVK170" s="1360"/>
      <c r="JVL170" s="1362"/>
      <c r="JVM170" s="955"/>
      <c r="JVN170" s="963"/>
      <c r="JVO170" s="2242"/>
      <c r="JVP170" s="1360"/>
      <c r="JVQ170" s="1360"/>
      <c r="JVR170" s="1360"/>
      <c r="JVS170" s="1360"/>
      <c r="JVT170" s="1362"/>
      <c r="JVU170" s="955"/>
      <c r="JVV170" s="963"/>
      <c r="JVW170" s="2242"/>
      <c r="JVX170" s="1360"/>
      <c r="JVY170" s="1360"/>
      <c r="JVZ170" s="1360"/>
      <c r="JWA170" s="1360"/>
      <c r="JWB170" s="1362"/>
      <c r="JWC170" s="955"/>
      <c r="JWD170" s="963"/>
      <c r="JWE170" s="2242"/>
      <c r="JWF170" s="1360"/>
      <c r="JWG170" s="1360"/>
      <c r="JWH170" s="1360"/>
      <c r="JWI170" s="1360"/>
      <c r="JWJ170" s="1362"/>
      <c r="JWK170" s="955"/>
      <c r="JWL170" s="963"/>
      <c r="JWM170" s="2242"/>
      <c r="JWN170" s="1360"/>
      <c r="JWO170" s="1360"/>
      <c r="JWP170" s="1360"/>
      <c r="JWQ170" s="1360"/>
      <c r="JWR170" s="1362"/>
      <c r="JWS170" s="955"/>
      <c r="JWT170" s="963"/>
      <c r="JWU170" s="2242"/>
      <c r="JWV170" s="1360"/>
      <c r="JWW170" s="1360"/>
      <c r="JWX170" s="1360"/>
      <c r="JWY170" s="1360"/>
      <c r="JWZ170" s="1362"/>
      <c r="JXA170" s="955"/>
      <c r="JXB170" s="963"/>
      <c r="JXC170" s="2242"/>
      <c r="JXD170" s="1360"/>
      <c r="JXE170" s="1360"/>
      <c r="JXF170" s="1360"/>
      <c r="JXG170" s="1360"/>
      <c r="JXH170" s="1362"/>
      <c r="JXI170" s="955"/>
      <c r="JXJ170" s="963"/>
      <c r="JXK170" s="2242"/>
      <c r="JXL170" s="1360"/>
      <c r="JXM170" s="1360"/>
      <c r="JXN170" s="1360"/>
      <c r="JXO170" s="1360"/>
      <c r="JXP170" s="1362"/>
      <c r="JXQ170" s="955"/>
      <c r="JXR170" s="963"/>
      <c r="JXS170" s="2242"/>
      <c r="JXT170" s="1360"/>
      <c r="JXU170" s="1360"/>
      <c r="JXV170" s="1360"/>
      <c r="JXW170" s="1360"/>
      <c r="JXX170" s="1362"/>
      <c r="JXY170" s="955"/>
      <c r="JXZ170" s="963"/>
      <c r="JYA170" s="2242"/>
      <c r="JYB170" s="1360"/>
      <c r="JYC170" s="1360"/>
      <c r="JYD170" s="1360"/>
      <c r="JYE170" s="1360"/>
      <c r="JYF170" s="1362"/>
      <c r="JYG170" s="955"/>
      <c r="JYH170" s="963"/>
      <c r="JYI170" s="2242"/>
      <c r="JYJ170" s="1360"/>
      <c r="JYK170" s="1360"/>
      <c r="JYL170" s="1360"/>
      <c r="JYM170" s="1360"/>
      <c r="JYN170" s="1362"/>
      <c r="JYO170" s="955"/>
      <c r="JYP170" s="963"/>
      <c r="JYQ170" s="2242"/>
      <c r="JYR170" s="1360"/>
      <c r="JYS170" s="1360"/>
      <c r="JYT170" s="1360"/>
      <c r="JYU170" s="1360"/>
      <c r="JYV170" s="1362"/>
      <c r="JYW170" s="955"/>
      <c r="JYX170" s="963"/>
      <c r="JYY170" s="2242"/>
      <c r="JYZ170" s="1360"/>
      <c r="JZA170" s="1360"/>
      <c r="JZB170" s="1360"/>
      <c r="JZC170" s="1360"/>
      <c r="JZD170" s="1362"/>
      <c r="JZE170" s="955"/>
      <c r="JZF170" s="963"/>
      <c r="JZG170" s="2242"/>
      <c r="JZH170" s="1360"/>
      <c r="JZI170" s="1360"/>
      <c r="JZJ170" s="1360"/>
      <c r="JZK170" s="1360"/>
      <c r="JZL170" s="1362"/>
      <c r="JZM170" s="955"/>
      <c r="JZN170" s="963"/>
      <c r="JZO170" s="2242"/>
      <c r="JZP170" s="1360"/>
      <c r="JZQ170" s="1360"/>
      <c r="JZR170" s="1360"/>
      <c r="JZS170" s="1360"/>
      <c r="JZT170" s="1362"/>
      <c r="JZU170" s="955"/>
      <c r="JZV170" s="963"/>
      <c r="JZW170" s="2242"/>
      <c r="JZX170" s="1360"/>
      <c r="JZY170" s="1360"/>
      <c r="JZZ170" s="1360"/>
      <c r="KAA170" s="1360"/>
      <c r="KAB170" s="1362"/>
      <c r="KAC170" s="955"/>
      <c r="KAD170" s="963"/>
      <c r="KAE170" s="2242"/>
      <c r="KAF170" s="1360"/>
      <c r="KAG170" s="1360"/>
      <c r="KAH170" s="1360"/>
      <c r="KAI170" s="1360"/>
      <c r="KAJ170" s="1362"/>
      <c r="KAK170" s="955"/>
      <c r="KAL170" s="963"/>
      <c r="KAM170" s="2242"/>
      <c r="KAN170" s="1360"/>
      <c r="KAO170" s="1360"/>
      <c r="KAP170" s="1360"/>
      <c r="KAQ170" s="1360"/>
      <c r="KAR170" s="1362"/>
      <c r="KAS170" s="955"/>
      <c r="KAT170" s="963"/>
      <c r="KAU170" s="2242"/>
      <c r="KAV170" s="1360"/>
      <c r="KAW170" s="1360"/>
      <c r="KAX170" s="1360"/>
      <c r="KAY170" s="1360"/>
      <c r="KAZ170" s="1362"/>
      <c r="KBA170" s="955"/>
      <c r="KBB170" s="963"/>
      <c r="KBC170" s="2242"/>
      <c r="KBD170" s="1360"/>
      <c r="KBE170" s="1360"/>
      <c r="KBF170" s="1360"/>
      <c r="KBG170" s="1360"/>
      <c r="KBH170" s="1362"/>
      <c r="KBI170" s="955"/>
      <c r="KBJ170" s="963"/>
      <c r="KBK170" s="2242"/>
      <c r="KBL170" s="1360"/>
      <c r="KBM170" s="1360"/>
      <c r="KBN170" s="1360"/>
      <c r="KBO170" s="1360"/>
      <c r="KBP170" s="1362"/>
      <c r="KBQ170" s="955"/>
      <c r="KBR170" s="963"/>
      <c r="KBS170" s="2242"/>
      <c r="KBT170" s="1360"/>
      <c r="KBU170" s="1360"/>
      <c r="KBV170" s="1360"/>
      <c r="KBW170" s="1360"/>
      <c r="KBX170" s="1362"/>
      <c r="KBY170" s="955"/>
      <c r="KBZ170" s="963"/>
      <c r="KCA170" s="2242"/>
      <c r="KCB170" s="1360"/>
      <c r="KCC170" s="1360"/>
      <c r="KCD170" s="1360"/>
      <c r="KCE170" s="1360"/>
      <c r="KCF170" s="1362"/>
      <c r="KCG170" s="955"/>
      <c r="KCH170" s="963"/>
      <c r="KCI170" s="2242"/>
      <c r="KCJ170" s="1360"/>
      <c r="KCK170" s="1360"/>
      <c r="KCL170" s="1360"/>
      <c r="KCM170" s="1360"/>
      <c r="KCN170" s="1362"/>
      <c r="KCO170" s="955"/>
      <c r="KCP170" s="963"/>
      <c r="KCQ170" s="2242"/>
      <c r="KCR170" s="1360"/>
      <c r="KCS170" s="1360"/>
      <c r="KCT170" s="1360"/>
      <c r="KCU170" s="1360"/>
      <c r="KCV170" s="1362"/>
      <c r="KCW170" s="955"/>
      <c r="KCX170" s="963"/>
      <c r="KCY170" s="2242"/>
      <c r="KCZ170" s="1360"/>
      <c r="KDA170" s="1360"/>
      <c r="KDB170" s="1360"/>
      <c r="KDC170" s="1360"/>
      <c r="KDD170" s="1362"/>
      <c r="KDE170" s="955"/>
      <c r="KDF170" s="963"/>
      <c r="KDG170" s="2242"/>
      <c r="KDH170" s="1360"/>
      <c r="KDI170" s="1360"/>
      <c r="KDJ170" s="1360"/>
      <c r="KDK170" s="1360"/>
      <c r="KDL170" s="1362"/>
      <c r="KDM170" s="955"/>
      <c r="KDN170" s="963"/>
      <c r="KDO170" s="2242"/>
      <c r="KDP170" s="1360"/>
      <c r="KDQ170" s="1360"/>
      <c r="KDR170" s="1360"/>
      <c r="KDS170" s="1360"/>
      <c r="KDT170" s="1362"/>
      <c r="KDU170" s="955"/>
      <c r="KDV170" s="963"/>
      <c r="KDW170" s="2242"/>
      <c r="KDX170" s="1360"/>
      <c r="KDY170" s="1360"/>
      <c r="KDZ170" s="1360"/>
      <c r="KEA170" s="1360"/>
      <c r="KEB170" s="1362"/>
      <c r="KEC170" s="955"/>
      <c r="KED170" s="963"/>
      <c r="KEE170" s="2242"/>
      <c r="KEF170" s="1360"/>
      <c r="KEG170" s="1360"/>
      <c r="KEH170" s="1360"/>
      <c r="KEI170" s="1360"/>
      <c r="KEJ170" s="1362"/>
      <c r="KEK170" s="955"/>
      <c r="KEL170" s="963"/>
      <c r="KEM170" s="2242"/>
      <c r="KEN170" s="1360"/>
      <c r="KEO170" s="1360"/>
      <c r="KEP170" s="1360"/>
      <c r="KEQ170" s="1360"/>
      <c r="KER170" s="1362"/>
      <c r="KES170" s="955"/>
      <c r="KET170" s="963"/>
      <c r="KEU170" s="2242"/>
      <c r="KEV170" s="1360"/>
      <c r="KEW170" s="1360"/>
      <c r="KEX170" s="1360"/>
      <c r="KEY170" s="1360"/>
      <c r="KEZ170" s="1362"/>
      <c r="KFA170" s="955"/>
      <c r="KFB170" s="963"/>
      <c r="KFC170" s="2242"/>
      <c r="KFD170" s="1360"/>
      <c r="KFE170" s="1360"/>
      <c r="KFF170" s="1360"/>
      <c r="KFG170" s="1360"/>
      <c r="KFH170" s="1362"/>
      <c r="KFI170" s="955"/>
      <c r="KFJ170" s="963"/>
      <c r="KFK170" s="2242"/>
      <c r="KFL170" s="1360"/>
      <c r="KFM170" s="1360"/>
      <c r="KFN170" s="1360"/>
      <c r="KFO170" s="1360"/>
      <c r="KFP170" s="1362"/>
      <c r="KFQ170" s="955"/>
      <c r="KFR170" s="963"/>
      <c r="KFS170" s="2242"/>
      <c r="KFT170" s="1360"/>
      <c r="KFU170" s="1360"/>
      <c r="KFV170" s="1360"/>
      <c r="KFW170" s="1360"/>
      <c r="KFX170" s="1362"/>
      <c r="KFY170" s="955"/>
      <c r="KFZ170" s="963"/>
      <c r="KGA170" s="2242"/>
      <c r="KGB170" s="1360"/>
      <c r="KGC170" s="1360"/>
      <c r="KGD170" s="1360"/>
      <c r="KGE170" s="1360"/>
      <c r="KGF170" s="1362"/>
      <c r="KGG170" s="955"/>
      <c r="KGH170" s="963"/>
      <c r="KGI170" s="2242"/>
      <c r="KGJ170" s="1360"/>
      <c r="KGK170" s="1360"/>
      <c r="KGL170" s="1360"/>
      <c r="KGM170" s="1360"/>
      <c r="KGN170" s="1362"/>
      <c r="KGO170" s="955"/>
      <c r="KGP170" s="963"/>
      <c r="KGQ170" s="2242"/>
      <c r="KGR170" s="1360"/>
      <c r="KGS170" s="1360"/>
      <c r="KGT170" s="1360"/>
      <c r="KGU170" s="1360"/>
      <c r="KGV170" s="1362"/>
      <c r="KGW170" s="955"/>
      <c r="KGX170" s="963"/>
      <c r="KGY170" s="2242"/>
      <c r="KGZ170" s="1360"/>
      <c r="KHA170" s="1360"/>
      <c r="KHB170" s="1360"/>
      <c r="KHC170" s="1360"/>
      <c r="KHD170" s="1362"/>
      <c r="KHE170" s="955"/>
      <c r="KHF170" s="963"/>
      <c r="KHG170" s="2242"/>
      <c r="KHH170" s="1360"/>
      <c r="KHI170" s="1360"/>
      <c r="KHJ170" s="1360"/>
      <c r="KHK170" s="1360"/>
      <c r="KHL170" s="1362"/>
      <c r="KHM170" s="955"/>
      <c r="KHN170" s="963"/>
      <c r="KHO170" s="2242"/>
      <c r="KHP170" s="1360"/>
      <c r="KHQ170" s="1360"/>
      <c r="KHR170" s="1360"/>
      <c r="KHS170" s="1360"/>
      <c r="KHT170" s="1362"/>
      <c r="KHU170" s="955"/>
      <c r="KHV170" s="963"/>
      <c r="KHW170" s="2242"/>
      <c r="KHX170" s="1360"/>
      <c r="KHY170" s="1360"/>
      <c r="KHZ170" s="1360"/>
      <c r="KIA170" s="1360"/>
      <c r="KIB170" s="1362"/>
      <c r="KIC170" s="955"/>
      <c r="KID170" s="963"/>
      <c r="KIE170" s="2242"/>
      <c r="KIF170" s="1360"/>
      <c r="KIG170" s="1360"/>
      <c r="KIH170" s="1360"/>
      <c r="KII170" s="1360"/>
      <c r="KIJ170" s="1362"/>
      <c r="KIK170" s="955"/>
      <c r="KIL170" s="963"/>
      <c r="KIM170" s="2242"/>
      <c r="KIN170" s="1360"/>
      <c r="KIO170" s="1360"/>
      <c r="KIP170" s="1360"/>
      <c r="KIQ170" s="1360"/>
      <c r="KIR170" s="1362"/>
      <c r="KIS170" s="955"/>
      <c r="KIT170" s="963"/>
      <c r="KIU170" s="2242"/>
      <c r="KIV170" s="1360"/>
      <c r="KIW170" s="1360"/>
      <c r="KIX170" s="1360"/>
      <c r="KIY170" s="1360"/>
      <c r="KIZ170" s="1362"/>
      <c r="KJA170" s="955"/>
      <c r="KJB170" s="963"/>
      <c r="KJC170" s="2242"/>
      <c r="KJD170" s="1360"/>
      <c r="KJE170" s="1360"/>
      <c r="KJF170" s="1360"/>
      <c r="KJG170" s="1360"/>
      <c r="KJH170" s="1362"/>
      <c r="KJI170" s="955"/>
      <c r="KJJ170" s="963"/>
      <c r="KJK170" s="2242"/>
      <c r="KJL170" s="1360"/>
      <c r="KJM170" s="1360"/>
      <c r="KJN170" s="1360"/>
      <c r="KJO170" s="1360"/>
      <c r="KJP170" s="1362"/>
      <c r="KJQ170" s="955"/>
      <c r="KJR170" s="963"/>
      <c r="KJS170" s="2242"/>
      <c r="KJT170" s="1360"/>
      <c r="KJU170" s="1360"/>
      <c r="KJV170" s="1360"/>
      <c r="KJW170" s="1360"/>
      <c r="KJX170" s="1362"/>
      <c r="KJY170" s="955"/>
      <c r="KJZ170" s="963"/>
      <c r="KKA170" s="2242"/>
      <c r="KKB170" s="1360"/>
      <c r="KKC170" s="1360"/>
      <c r="KKD170" s="1360"/>
      <c r="KKE170" s="1360"/>
      <c r="KKF170" s="1362"/>
      <c r="KKG170" s="955"/>
      <c r="KKH170" s="963"/>
      <c r="KKI170" s="2242"/>
      <c r="KKJ170" s="1360"/>
      <c r="KKK170" s="1360"/>
      <c r="KKL170" s="1360"/>
      <c r="KKM170" s="1360"/>
      <c r="KKN170" s="1362"/>
      <c r="KKO170" s="955"/>
      <c r="KKP170" s="963"/>
      <c r="KKQ170" s="2242"/>
      <c r="KKR170" s="1360"/>
      <c r="KKS170" s="1360"/>
      <c r="KKT170" s="1360"/>
      <c r="KKU170" s="1360"/>
      <c r="KKV170" s="1362"/>
      <c r="KKW170" s="955"/>
      <c r="KKX170" s="963"/>
      <c r="KKY170" s="2242"/>
      <c r="KKZ170" s="1360"/>
      <c r="KLA170" s="1360"/>
      <c r="KLB170" s="1360"/>
      <c r="KLC170" s="1360"/>
      <c r="KLD170" s="1362"/>
      <c r="KLE170" s="955"/>
      <c r="KLF170" s="963"/>
      <c r="KLG170" s="2242"/>
      <c r="KLH170" s="1360"/>
      <c r="KLI170" s="1360"/>
      <c r="KLJ170" s="1360"/>
      <c r="KLK170" s="1360"/>
      <c r="KLL170" s="1362"/>
      <c r="KLM170" s="955"/>
      <c r="KLN170" s="963"/>
      <c r="KLO170" s="2242"/>
      <c r="KLP170" s="1360"/>
      <c r="KLQ170" s="1360"/>
      <c r="KLR170" s="1360"/>
      <c r="KLS170" s="1360"/>
      <c r="KLT170" s="1362"/>
      <c r="KLU170" s="955"/>
      <c r="KLV170" s="963"/>
      <c r="KLW170" s="2242"/>
      <c r="KLX170" s="1360"/>
      <c r="KLY170" s="1360"/>
      <c r="KLZ170" s="1360"/>
      <c r="KMA170" s="1360"/>
      <c r="KMB170" s="1362"/>
      <c r="KMC170" s="955"/>
      <c r="KMD170" s="963"/>
      <c r="KME170" s="2242"/>
      <c r="KMF170" s="1360"/>
      <c r="KMG170" s="1360"/>
      <c r="KMH170" s="1360"/>
      <c r="KMI170" s="1360"/>
      <c r="KMJ170" s="1362"/>
      <c r="KMK170" s="955"/>
      <c r="KML170" s="963"/>
      <c r="KMM170" s="2242"/>
      <c r="KMN170" s="1360"/>
      <c r="KMO170" s="1360"/>
      <c r="KMP170" s="1360"/>
      <c r="KMQ170" s="1360"/>
      <c r="KMR170" s="1362"/>
      <c r="KMS170" s="955"/>
      <c r="KMT170" s="963"/>
      <c r="KMU170" s="2242"/>
      <c r="KMV170" s="1360"/>
      <c r="KMW170" s="1360"/>
      <c r="KMX170" s="1360"/>
      <c r="KMY170" s="1360"/>
      <c r="KMZ170" s="1362"/>
      <c r="KNA170" s="955"/>
      <c r="KNB170" s="963"/>
      <c r="KNC170" s="2242"/>
      <c r="KND170" s="1360"/>
      <c r="KNE170" s="1360"/>
      <c r="KNF170" s="1360"/>
      <c r="KNG170" s="1360"/>
      <c r="KNH170" s="1362"/>
      <c r="KNI170" s="955"/>
      <c r="KNJ170" s="963"/>
      <c r="KNK170" s="2242"/>
      <c r="KNL170" s="1360"/>
      <c r="KNM170" s="1360"/>
      <c r="KNN170" s="1360"/>
      <c r="KNO170" s="1360"/>
      <c r="KNP170" s="1362"/>
      <c r="KNQ170" s="955"/>
      <c r="KNR170" s="963"/>
      <c r="KNS170" s="2242"/>
      <c r="KNT170" s="1360"/>
      <c r="KNU170" s="1360"/>
      <c r="KNV170" s="1360"/>
      <c r="KNW170" s="1360"/>
      <c r="KNX170" s="1362"/>
      <c r="KNY170" s="955"/>
      <c r="KNZ170" s="963"/>
      <c r="KOA170" s="2242"/>
      <c r="KOB170" s="1360"/>
      <c r="KOC170" s="1360"/>
      <c r="KOD170" s="1360"/>
      <c r="KOE170" s="1360"/>
      <c r="KOF170" s="1362"/>
      <c r="KOG170" s="955"/>
      <c r="KOH170" s="963"/>
      <c r="KOI170" s="2242"/>
      <c r="KOJ170" s="1360"/>
      <c r="KOK170" s="1360"/>
      <c r="KOL170" s="1360"/>
      <c r="KOM170" s="1360"/>
      <c r="KON170" s="1362"/>
      <c r="KOO170" s="955"/>
      <c r="KOP170" s="963"/>
      <c r="KOQ170" s="2242"/>
      <c r="KOR170" s="1360"/>
      <c r="KOS170" s="1360"/>
      <c r="KOT170" s="1360"/>
      <c r="KOU170" s="1360"/>
      <c r="KOV170" s="1362"/>
      <c r="KOW170" s="955"/>
      <c r="KOX170" s="963"/>
      <c r="KOY170" s="2242"/>
      <c r="KOZ170" s="1360"/>
      <c r="KPA170" s="1360"/>
      <c r="KPB170" s="1360"/>
      <c r="KPC170" s="1360"/>
      <c r="KPD170" s="1362"/>
      <c r="KPE170" s="955"/>
      <c r="KPF170" s="963"/>
      <c r="KPG170" s="2242"/>
      <c r="KPH170" s="1360"/>
      <c r="KPI170" s="1360"/>
      <c r="KPJ170" s="1360"/>
      <c r="KPK170" s="1360"/>
      <c r="KPL170" s="1362"/>
      <c r="KPM170" s="955"/>
      <c r="KPN170" s="963"/>
      <c r="KPO170" s="2242"/>
      <c r="KPP170" s="1360"/>
      <c r="KPQ170" s="1360"/>
      <c r="KPR170" s="1360"/>
      <c r="KPS170" s="1360"/>
      <c r="KPT170" s="1362"/>
      <c r="KPU170" s="955"/>
      <c r="KPV170" s="963"/>
      <c r="KPW170" s="2242"/>
      <c r="KPX170" s="1360"/>
      <c r="KPY170" s="1360"/>
      <c r="KPZ170" s="1360"/>
      <c r="KQA170" s="1360"/>
      <c r="KQB170" s="1362"/>
      <c r="KQC170" s="955"/>
      <c r="KQD170" s="963"/>
      <c r="KQE170" s="2242"/>
      <c r="KQF170" s="1360"/>
      <c r="KQG170" s="1360"/>
      <c r="KQH170" s="1360"/>
      <c r="KQI170" s="1360"/>
      <c r="KQJ170" s="1362"/>
      <c r="KQK170" s="955"/>
      <c r="KQL170" s="963"/>
      <c r="KQM170" s="2242"/>
      <c r="KQN170" s="1360"/>
      <c r="KQO170" s="1360"/>
      <c r="KQP170" s="1360"/>
      <c r="KQQ170" s="1360"/>
      <c r="KQR170" s="1362"/>
      <c r="KQS170" s="955"/>
      <c r="KQT170" s="963"/>
      <c r="KQU170" s="2242"/>
      <c r="KQV170" s="1360"/>
      <c r="KQW170" s="1360"/>
      <c r="KQX170" s="1360"/>
      <c r="KQY170" s="1360"/>
      <c r="KQZ170" s="1362"/>
      <c r="KRA170" s="955"/>
      <c r="KRB170" s="963"/>
      <c r="KRC170" s="2242"/>
      <c r="KRD170" s="1360"/>
      <c r="KRE170" s="1360"/>
      <c r="KRF170" s="1360"/>
      <c r="KRG170" s="1360"/>
      <c r="KRH170" s="1362"/>
      <c r="KRI170" s="955"/>
      <c r="KRJ170" s="963"/>
      <c r="KRK170" s="2242"/>
      <c r="KRL170" s="1360"/>
      <c r="KRM170" s="1360"/>
      <c r="KRN170" s="1360"/>
      <c r="KRO170" s="1360"/>
      <c r="KRP170" s="1362"/>
      <c r="KRQ170" s="955"/>
      <c r="KRR170" s="963"/>
      <c r="KRS170" s="2242"/>
      <c r="KRT170" s="1360"/>
      <c r="KRU170" s="1360"/>
      <c r="KRV170" s="1360"/>
      <c r="KRW170" s="1360"/>
      <c r="KRX170" s="1362"/>
      <c r="KRY170" s="955"/>
      <c r="KRZ170" s="963"/>
      <c r="KSA170" s="2242"/>
      <c r="KSB170" s="1360"/>
      <c r="KSC170" s="1360"/>
      <c r="KSD170" s="1360"/>
      <c r="KSE170" s="1360"/>
      <c r="KSF170" s="1362"/>
      <c r="KSG170" s="955"/>
      <c r="KSH170" s="963"/>
      <c r="KSI170" s="2242"/>
      <c r="KSJ170" s="1360"/>
      <c r="KSK170" s="1360"/>
      <c r="KSL170" s="1360"/>
      <c r="KSM170" s="1360"/>
      <c r="KSN170" s="1362"/>
      <c r="KSO170" s="955"/>
      <c r="KSP170" s="963"/>
      <c r="KSQ170" s="2242"/>
      <c r="KSR170" s="1360"/>
      <c r="KSS170" s="1360"/>
      <c r="KST170" s="1360"/>
      <c r="KSU170" s="1360"/>
      <c r="KSV170" s="1362"/>
      <c r="KSW170" s="955"/>
      <c r="KSX170" s="963"/>
      <c r="KSY170" s="2242"/>
      <c r="KSZ170" s="1360"/>
      <c r="KTA170" s="1360"/>
      <c r="KTB170" s="1360"/>
      <c r="KTC170" s="1360"/>
      <c r="KTD170" s="1362"/>
      <c r="KTE170" s="955"/>
      <c r="KTF170" s="963"/>
      <c r="KTG170" s="2242"/>
      <c r="KTH170" s="1360"/>
      <c r="KTI170" s="1360"/>
      <c r="KTJ170" s="1360"/>
      <c r="KTK170" s="1360"/>
      <c r="KTL170" s="1362"/>
      <c r="KTM170" s="955"/>
      <c r="KTN170" s="963"/>
      <c r="KTO170" s="2242"/>
      <c r="KTP170" s="1360"/>
      <c r="KTQ170" s="1360"/>
      <c r="KTR170" s="1360"/>
      <c r="KTS170" s="1360"/>
      <c r="KTT170" s="1362"/>
      <c r="KTU170" s="955"/>
      <c r="KTV170" s="963"/>
      <c r="KTW170" s="2242"/>
      <c r="KTX170" s="1360"/>
      <c r="KTY170" s="1360"/>
      <c r="KTZ170" s="1360"/>
      <c r="KUA170" s="1360"/>
      <c r="KUB170" s="1362"/>
      <c r="KUC170" s="955"/>
      <c r="KUD170" s="963"/>
      <c r="KUE170" s="2242"/>
      <c r="KUF170" s="1360"/>
      <c r="KUG170" s="1360"/>
      <c r="KUH170" s="1360"/>
      <c r="KUI170" s="1360"/>
      <c r="KUJ170" s="1362"/>
      <c r="KUK170" s="955"/>
      <c r="KUL170" s="963"/>
      <c r="KUM170" s="2242"/>
      <c r="KUN170" s="1360"/>
      <c r="KUO170" s="1360"/>
      <c r="KUP170" s="1360"/>
      <c r="KUQ170" s="1360"/>
      <c r="KUR170" s="1362"/>
      <c r="KUS170" s="955"/>
      <c r="KUT170" s="963"/>
      <c r="KUU170" s="2242"/>
      <c r="KUV170" s="1360"/>
      <c r="KUW170" s="1360"/>
      <c r="KUX170" s="1360"/>
      <c r="KUY170" s="1360"/>
      <c r="KUZ170" s="1362"/>
      <c r="KVA170" s="955"/>
      <c r="KVB170" s="963"/>
      <c r="KVC170" s="2242"/>
      <c r="KVD170" s="1360"/>
      <c r="KVE170" s="1360"/>
      <c r="KVF170" s="1360"/>
      <c r="KVG170" s="1360"/>
      <c r="KVH170" s="1362"/>
      <c r="KVI170" s="955"/>
      <c r="KVJ170" s="963"/>
      <c r="KVK170" s="2242"/>
      <c r="KVL170" s="1360"/>
      <c r="KVM170" s="1360"/>
      <c r="KVN170" s="1360"/>
      <c r="KVO170" s="1360"/>
      <c r="KVP170" s="1362"/>
      <c r="KVQ170" s="955"/>
      <c r="KVR170" s="963"/>
      <c r="KVS170" s="2242"/>
      <c r="KVT170" s="1360"/>
      <c r="KVU170" s="1360"/>
      <c r="KVV170" s="1360"/>
      <c r="KVW170" s="1360"/>
      <c r="KVX170" s="1362"/>
      <c r="KVY170" s="955"/>
      <c r="KVZ170" s="963"/>
      <c r="KWA170" s="2242"/>
      <c r="KWB170" s="1360"/>
      <c r="KWC170" s="1360"/>
      <c r="KWD170" s="1360"/>
      <c r="KWE170" s="1360"/>
      <c r="KWF170" s="1362"/>
      <c r="KWG170" s="955"/>
      <c r="KWH170" s="963"/>
      <c r="KWI170" s="2242"/>
      <c r="KWJ170" s="1360"/>
      <c r="KWK170" s="1360"/>
      <c r="KWL170" s="1360"/>
      <c r="KWM170" s="1360"/>
      <c r="KWN170" s="1362"/>
      <c r="KWO170" s="955"/>
      <c r="KWP170" s="963"/>
      <c r="KWQ170" s="2242"/>
      <c r="KWR170" s="1360"/>
      <c r="KWS170" s="1360"/>
      <c r="KWT170" s="1360"/>
      <c r="KWU170" s="1360"/>
      <c r="KWV170" s="1362"/>
      <c r="KWW170" s="955"/>
      <c r="KWX170" s="963"/>
      <c r="KWY170" s="2242"/>
      <c r="KWZ170" s="1360"/>
      <c r="KXA170" s="1360"/>
      <c r="KXB170" s="1360"/>
      <c r="KXC170" s="1360"/>
      <c r="KXD170" s="1362"/>
      <c r="KXE170" s="955"/>
      <c r="KXF170" s="963"/>
      <c r="KXG170" s="2242"/>
      <c r="KXH170" s="1360"/>
      <c r="KXI170" s="1360"/>
      <c r="KXJ170" s="1360"/>
      <c r="KXK170" s="1360"/>
      <c r="KXL170" s="1362"/>
      <c r="KXM170" s="955"/>
      <c r="KXN170" s="963"/>
      <c r="KXO170" s="2242"/>
      <c r="KXP170" s="1360"/>
      <c r="KXQ170" s="1360"/>
      <c r="KXR170" s="1360"/>
      <c r="KXS170" s="1360"/>
      <c r="KXT170" s="1362"/>
      <c r="KXU170" s="955"/>
      <c r="KXV170" s="963"/>
      <c r="KXW170" s="2242"/>
      <c r="KXX170" s="1360"/>
      <c r="KXY170" s="1360"/>
      <c r="KXZ170" s="1360"/>
      <c r="KYA170" s="1360"/>
      <c r="KYB170" s="1362"/>
      <c r="KYC170" s="955"/>
      <c r="KYD170" s="963"/>
      <c r="KYE170" s="2242"/>
      <c r="KYF170" s="1360"/>
      <c r="KYG170" s="1360"/>
      <c r="KYH170" s="1360"/>
      <c r="KYI170" s="1360"/>
      <c r="KYJ170" s="1362"/>
      <c r="KYK170" s="955"/>
      <c r="KYL170" s="963"/>
      <c r="KYM170" s="2242"/>
      <c r="KYN170" s="1360"/>
      <c r="KYO170" s="1360"/>
      <c r="KYP170" s="1360"/>
      <c r="KYQ170" s="1360"/>
      <c r="KYR170" s="1362"/>
      <c r="KYS170" s="955"/>
      <c r="KYT170" s="963"/>
      <c r="KYU170" s="2242"/>
      <c r="KYV170" s="1360"/>
      <c r="KYW170" s="1360"/>
      <c r="KYX170" s="1360"/>
      <c r="KYY170" s="1360"/>
      <c r="KYZ170" s="1362"/>
      <c r="KZA170" s="955"/>
      <c r="KZB170" s="963"/>
      <c r="KZC170" s="2242"/>
      <c r="KZD170" s="1360"/>
      <c r="KZE170" s="1360"/>
      <c r="KZF170" s="1360"/>
      <c r="KZG170" s="1360"/>
      <c r="KZH170" s="1362"/>
      <c r="KZI170" s="955"/>
      <c r="KZJ170" s="963"/>
      <c r="KZK170" s="2242"/>
      <c r="KZL170" s="1360"/>
      <c r="KZM170" s="1360"/>
      <c r="KZN170" s="1360"/>
      <c r="KZO170" s="1360"/>
      <c r="KZP170" s="1362"/>
      <c r="KZQ170" s="955"/>
      <c r="KZR170" s="963"/>
      <c r="KZS170" s="2242"/>
      <c r="KZT170" s="1360"/>
      <c r="KZU170" s="1360"/>
      <c r="KZV170" s="1360"/>
      <c r="KZW170" s="1360"/>
      <c r="KZX170" s="1362"/>
      <c r="KZY170" s="955"/>
      <c r="KZZ170" s="963"/>
      <c r="LAA170" s="2242"/>
      <c r="LAB170" s="1360"/>
      <c r="LAC170" s="1360"/>
      <c r="LAD170" s="1360"/>
      <c r="LAE170" s="1360"/>
      <c r="LAF170" s="1362"/>
      <c r="LAG170" s="955"/>
      <c r="LAH170" s="963"/>
      <c r="LAI170" s="2242"/>
      <c r="LAJ170" s="1360"/>
      <c r="LAK170" s="1360"/>
      <c r="LAL170" s="1360"/>
      <c r="LAM170" s="1360"/>
      <c r="LAN170" s="1362"/>
      <c r="LAO170" s="955"/>
      <c r="LAP170" s="963"/>
      <c r="LAQ170" s="2242"/>
      <c r="LAR170" s="1360"/>
      <c r="LAS170" s="1360"/>
      <c r="LAT170" s="1360"/>
      <c r="LAU170" s="1360"/>
      <c r="LAV170" s="1362"/>
      <c r="LAW170" s="955"/>
      <c r="LAX170" s="963"/>
      <c r="LAY170" s="2242"/>
      <c r="LAZ170" s="1360"/>
      <c r="LBA170" s="1360"/>
      <c r="LBB170" s="1360"/>
      <c r="LBC170" s="1360"/>
      <c r="LBD170" s="1362"/>
      <c r="LBE170" s="955"/>
      <c r="LBF170" s="963"/>
      <c r="LBG170" s="2242"/>
      <c r="LBH170" s="1360"/>
      <c r="LBI170" s="1360"/>
      <c r="LBJ170" s="1360"/>
      <c r="LBK170" s="1360"/>
      <c r="LBL170" s="1362"/>
      <c r="LBM170" s="955"/>
      <c r="LBN170" s="963"/>
      <c r="LBO170" s="2242"/>
      <c r="LBP170" s="1360"/>
      <c r="LBQ170" s="1360"/>
      <c r="LBR170" s="1360"/>
      <c r="LBS170" s="1360"/>
      <c r="LBT170" s="1362"/>
      <c r="LBU170" s="955"/>
      <c r="LBV170" s="963"/>
      <c r="LBW170" s="2242"/>
      <c r="LBX170" s="1360"/>
      <c r="LBY170" s="1360"/>
      <c r="LBZ170" s="1360"/>
      <c r="LCA170" s="1360"/>
      <c r="LCB170" s="1362"/>
      <c r="LCC170" s="955"/>
      <c r="LCD170" s="963"/>
      <c r="LCE170" s="2242"/>
      <c r="LCF170" s="1360"/>
      <c r="LCG170" s="1360"/>
      <c r="LCH170" s="1360"/>
      <c r="LCI170" s="1360"/>
      <c r="LCJ170" s="1362"/>
      <c r="LCK170" s="955"/>
      <c r="LCL170" s="963"/>
      <c r="LCM170" s="2242"/>
      <c r="LCN170" s="1360"/>
      <c r="LCO170" s="1360"/>
      <c r="LCP170" s="1360"/>
      <c r="LCQ170" s="1360"/>
      <c r="LCR170" s="1362"/>
      <c r="LCS170" s="955"/>
      <c r="LCT170" s="963"/>
      <c r="LCU170" s="2242"/>
      <c r="LCV170" s="1360"/>
      <c r="LCW170" s="1360"/>
      <c r="LCX170" s="1360"/>
      <c r="LCY170" s="1360"/>
      <c r="LCZ170" s="1362"/>
      <c r="LDA170" s="955"/>
      <c r="LDB170" s="963"/>
      <c r="LDC170" s="2242"/>
      <c r="LDD170" s="1360"/>
      <c r="LDE170" s="1360"/>
      <c r="LDF170" s="1360"/>
      <c r="LDG170" s="1360"/>
      <c r="LDH170" s="1362"/>
      <c r="LDI170" s="955"/>
      <c r="LDJ170" s="963"/>
      <c r="LDK170" s="2242"/>
      <c r="LDL170" s="1360"/>
      <c r="LDM170" s="1360"/>
      <c r="LDN170" s="1360"/>
      <c r="LDO170" s="1360"/>
      <c r="LDP170" s="1362"/>
      <c r="LDQ170" s="955"/>
      <c r="LDR170" s="963"/>
      <c r="LDS170" s="2242"/>
      <c r="LDT170" s="1360"/>
      <c r="LDU170" s="1360"/>
      <c r="LDV170" s="1360"/>
      <c r="LDW170" s="1360"/>
      <c r="LDX170" s="1362"/>
      <c r="LDY170" s="955"/>
      <c r="LDZ170" s="963"/>
      <c r="LEA170" s="2242"/>
      <c r="LEB170" s="1360"/>
      <c r="LEC170" s="1360"/>
      <c r="LED170" s="1360"/>
      <c r="LEE170" s="1360"/>
      <c r="LEF170" s="1362"/>
      <c r="LEG170" s="955"/>
      <c r="LEH170" s="963"/>
      <c r="LEI170" s="2242"/>
      <c r="LEJ170" s="1360"/>
      <c r="LEK170" s="1360"/>
      <c r="LEL170" s="1360"/>
      <c r="LEM170" s="1360"/>
      <c r="LEN170" s="1362"/>
      <c r="LEO170" s="955"/>
      <c r="LEP170" s="963"/>
      <c r="LEQ170" s="2242"/>
      <c r="LER170" s="1360"/>
      <c r="LES170" s="1360"/>
      <c r="LET170" s="1360"/>
      <c r="LEU170" s="1360"/>
      <c r="LEV170" s="1362"/>
      <c r="LEW170" s="955"/>
      <c r="LEX170" s="963"/>
      <c r="LEY170" s="2242"/>
      <c r="LEZ170" s="1360"/>
      <c r="LFA170" s="1360"/>
      <c r="LFB170" s="1360"/>
      <c r="LFC170" s="1360"/>
      <c r="LFD170" s="1362"/>
      <c r="LFE170" s="955"/>
      <c r="LFF170" s="963"/>
      <c r="LFG170" s="2242"/>
      <c r="LFH170" s="1360"/>
      <c r="LFI170" s="1360"/>
      <c r="LFJ170" s="1360"/>
      <c r="LFK170" s="1360"/>
      <c r="LFL170" s="1362"/>
      <c r="LFM170" s="955"/>
      <c r="LFN170" s="963"/>
      <c r="LFO170" s="2242"/>
      <c r="LFP170" s="1360"/>
      <c r="LFQ170" s="1360"/>
      <c r="LFR170" s="1360"/>
      <c r="LFS170" s="1360"/>
      <c r="LFT170" s="1362"/>
      <c r="LFU170" s="955"/>
      <c r="LFV170" s="963"/>
      <c r="LFW170" s="2242"/>
      <c r="LFX170" s="1360"/>
      <c r="LFY170" s="1360"/>
      <c r="LFZ170" s="1360"/>
      <c r="LGA170" s="1360"/>
      <c r="LGB170" s="1362"/>
      <c r="LGC170" s="955"/>
      <c r="LGD170" s="963"/>
      <c r="LGE170" s="2242"/>
      <c r="LGF170" s="1360"/>
      <c r="LGG170" s="1360"/>
      <c r="LGH170" s="1360"/>
      <c r="LGI170" s="1360"/>
      <c r="LGJ170" s="1362"/>
      <c r="LGK170" s="955"/>
      <c r="LGL170" s="963"/>
      <c r="LGM170" s="2242"/>
      <c r="LGN170" s="1360"/>
      <c r="LGO170" s="1360"/>
      <c r="LGP170" s="1360"/>
      <c r="LGQ170" s="1360"/>
      <c r="LGR170" s="1362"/>
      <c r="LGS170" s="955"/>
      <c r="LGT170" s="963"/>
      <c r="LGU170" s="2242"/>
      <c r="LGV170" s="1360"/>
      <c r="LGW170" s="1360"/>
      <c r="LGX170" s="1360"/>
      <c r="LGY170" s="1360"/>
      <c r="LGZ170" s="1362"/>
      <c r="LHA170" s="955"/>
      <c r="LHB170" s="963"/>
      <c r="LHC170" s="2242"/>
      <c r="LHD170" s="1360"/>
      <c r="LHE170" s="1360"/>
      <c r="LHF170" s="1360"/>
      <c r="LHG170" s="1360"/>
      <c r="LHH170" s="1362"/>
      <c r="LHI170" s="955"/>
      <c r="LHJ170" s="963"/>
      <c r="LHK170" s="2242"/>
      <c r="LHL170" s="1360"/>
      <c r="LHM170" s="1360"/>
      <c r="LHN170" s="1360"/>
      <c r="LHO170" s="1360"/>
      <c r="LHP170" s="1362"/>
      <c r="LHQ170" s="955"/>
      <c r="LHR170" s="963"/>
      <c r="LHS170" s="2242"/>
      <c r="LHT170" s="1360"/>
      <c r="LHU170" s="1360"/>
      <c r="LHV170" s="1360"/>
      <c r="LHW170" s="1360"/>
      <c r="LHX170" s="1362"/>
      <c r="LHY170" s="955"/>
      <c r="LHZ170" s="963"/>
      <c r="LIA170" s="2242"/>
      <c r="LIB170" s="1360"/>
      <c r="LIC170" s="1360"/>
      <c r="LID170" s="1360"/>
      <c r="LIE170" s="1360"/>
      <c r="LIF170" s="1362"/>
      <c r="LIG170" s="955"/>
      <c r="LIH170" s="963"/>
      <c r="LII170" s="2242"/>
      <c r="LIJ170" s="1360"/>
      <c r="LIK170" s="1360"/>
      <c r="LIL170" s="1360"/>
      <c r="LIM170" s="1360"/>
      <c r="LIN170" s="1362"/>
      <c r="LIO170" s="955"/>
      <c r="LIP170" s="963"/>
      <c r="LIQ170" s="2242"/>
      <c r="LIR170" s="1360"/>
      <c r="LIS170" s="1360"/>
      <c r="LIT170" s="1360"/>
      <c r="LIU170" s="1360"/>
      <c r="LIV170" s="1362"/>
      <c r="LIW170" s="955"/>
      <c r="LIX170" s="963"/>
      <c r="LIY170" s="2242"/>
      <c r="LIZ170" s="1360"/>
      <c r="LJA170" s="1360"/>
      <c r="LJB170" s="1360"/>
      <c r="LJC170" s="1360"/>
      <c r="LJD170" s="1362"/>
      <c r="LJE170" s="955"/>
      <c r="LJF170" s="963"/>
      <c r="LJG170" s="2242"/>
      <c r="LJH170" s="1360"/>
      <c r="LJI170" s="1360"/>
      <c r="LJJ170" s="1360"/>
      <c r="LJK170" s="1360"/>
      <c r="LJL170" s="1362"/>
      <c r="LJM170" s="955"/>
      <c r="LJN170" s="963"/>
      <c r="LJO170" s="2242"/>
      <c r="LJP170" s="1360"/>
      <c r="LJQ170" s="1360"/>
      <c r="LJR170" s="1360"/>
      <c r="LJS170" s="1360"/>
      <c r="LJT170" s="1362"/>
      <c r="LJU170" s="955"/>
      <c r="LJV170" s="963"/>
      <c r="LJW170" s="2242"/>
      <c r="LJX170" s="1360"/>
      <c r="LJY170" s="1360"/>
      <c r="LJZ170" s="1360"/>
      <c r="LKA170" s="1360"/>
      <c r="LKB170" s="1362"/>
      <c r="LKC170" s="955"/>
      <c r="LKD170" s="963"/>
      <c r="LKE170" s="2242"/>
      <c r="LKF170" s="1360"/>
      <c r="LKG170" s="1360"/>
      <c r="LKH170" s="1360"/>
      <c r="LKI170" s="1360"/>
      <c r="LKJ170" s="1362"/>
      <c r="LKK170" s="955"/>
      <c r="LKL170" s="963"/>
      <c r="LKM170" s="2242"/>
      <c r="LKN170" s="1360"/>
      <c r="LKO170" s="1360"/>
      <c r="LKP170" s="1360"/>
      <c r="LKQ170" s="1360"/>
      <c r="LKR170" s="1362"/>
      <c r="LKS170" s="955"/>
      <c r="LKT170" s="963"/>
      <c r="LKU170" s="2242"/>
      <c r="LKV170" s="1360"/>
      <c r="LKW170" s="1360"/>
      <c r="LKX170" s="1360"/>
      <c r="LKY170" s="1360"/>
      <c r="LKZ170" s="1362"/>
      <c r="LLA170" s="955"/>
      <c r="LLB170" s="963"/>
      <c r="LLC170" s="2242"/>
      <c r="LLD170" s="1360"/>
      <c r="LLE170" s="1360"/>
      <c r="LLF170" s="1360"/>
      <c r="LLG170" s="1360"/>
      <c r="LLH170" s="1362"/>
      <c r="LLI170" s="955"/>
      <c r="LLJ170" s="963"/>
      <c r="LLK170" s="2242"/>
      <c r="LLL170" s="1360"/>
      <c r="LLM170" s="1360"/>
      <c r="LLN170" s="1360"/>
      <c r="LLO170" s="1360"/>
      <c r="LLP170" s="1362"/>
      <c r="LLQ170" s="955"/>
      <c r="LLR170" s="963"/>
      <c r="LLS170" s="2242"/>
      <c r="LLT170" s="1360"/>
      <c r="LLU170" s="1360"/>
      <c r="LLV170" s="1360"/>
      <c r="LLW170" s="1360"/>
      <c r="LLX170" s="1362"/>
      <c r="LLY170" s="955"/>
      <c r="LLZ170" s="963"/>
      <c r="LMA170" s="2242"/>
      <c r="LMB170" s="1360"/>
      <c r="LMC170" s="1360"/>
      <c r="LMD170" s="1360"/>
      <c r="LME170" s="1360"/>
      <c r="LMF170" s="1362"/>
      <c r="LMG170" s="955"/>
      <c r="LMH170" s="963"/>
      <c r="LMI170" s="2242"/>
      <c r="LMJ170" s="1360"/>
      <c r="LMK170" s="1360"/>
      <c r="LML170" s="1360"/>
      <c r="LMM170" s="1360"/>
      <c r="LMN170" s="1362"/>
      <c r="LMO170" s="955"/>
      <c r="LMP170" s="963"/>
      <c r="LMQ170" s="2242"/>
      <c r="LMR170" s="1360"/>
      <c r="LMS170" s="1360"/>
      <c r="LMT170" s="1360"/>
      <c r="LMU170" s="1360"/>
      <c r="LMV170" s="1362"/>
      <c r="LMW170" s="955"/>
      <c r="LMX170" s="963"/>
      <c r="LMY170" s="2242"/>
      <c r="LMZ170" s="1360"/>
      <c r="LNA170" s="1360"/>
      <c r="LNB170" s="1360"/>
      <c r="LNC170" s="1360"/>
      <c r="LND170" s="1362"/>
      <c r="LNE170" s="955"/>
      <c r="LNF170" s="963"/>
      <c r="LNG170" s="2242"/>
      <c r="LNH170" s="1360"/>
      <c r="LNI170" s="1360"/>
      <c r="LNJ170" s="1360"/>
      <c r="LNK170" s="1360"/>
      <c r="LNL170" s="1362"/>
      <c r="LNM170" s="955"/>
      <c r="LNN170" s="963"/>
      <c r="LNO170" s="2242"/>
      <c r="LNP170" s="1360"/>
      <c r="LNQ170" s="1360"/>
      <c r="LNR170" s="1360"/>
      <c r="LNS170" s="1360"/>
      <c r="LNT170" s="1362"/>
      <c r="LNU170" s="955"/>
      <c r="LNV170" s="963"/>
      <c r="LNW170" s="2242"/>
      <c r="LNX170" s="1360"/>
      <c r="LNY170" s="1360"/>
      <c r="LNZ170" s="1360"/>
      <c r="LOA170" s="1360"/>
      <c r="LOB170" s="1362"/>
      <c r="LOC170" s="955"/>
      <c r="LOD170" s="963"/>
      <c r="LOE170" s="2242"/>
      <c r="LOF170" s="1360"/>
      <c r="LOG170" s="1360"/>
      <c r="LOH170" s="1360"/>
      <c r="LOI170" s="1360"/>
      <c r="LOJ170" s="1362"/>
      <c r="LOK170" s="955"/>
      <c r="LOL170" s="963"/>
      <c r="LOM170" s="2242"/>
      <c r="LON170" s="1360"/>
      <c r="LOO170" s="1360"/>
      <c r="LOP170" s="1360"/>
      <c r="LOQ170" s="1360"/>
      <c r="LOR170" s="1362"/>
      <c r="LOS170" s="955"/>
      <c r="LOT170" s="963"/>
      <c r="LOU170" s="2242"/>
      <c r="LOV170" s="1360"/>
      <c r="LOW170" s="1360"/>
      <c r="LOX170" s="1360"/>
      <c r="LOY170" s="1360"/>
      <c r="LOZ170" s="1362"/>
      <c r="LPA170" s="955"/>
      <c r="LPB170" s="963"/>
      <c r="LPC170" s="2242"/>
      <c r="LPD170" s="1360"/>
      <c r="LPE170" s="1360"/>
      <c r="LPF170" s="1360"/>
      <c r="LPG170" s="1360"/>
      <c r="LPH170" s="1362"/>
      <c r="LPI170" s="955"/>
      <c r="LPJ170" s="963"/>
      <c r="LPK170" s="2242"/>
      <c r="LPL170" s="1360"/>
      <c r="LPM170" s="1360"/>
      <c r="LPN170" s="1360"/>
      <c r="LPO170" s="1360"/>
      <c r="LPP170" s="1362"/>
      <c r="LPQ170" s="955"/>
      <c r="LPR170" s="963"/>
      <c r="LPS170" s="2242"/>
      <c r="LPT170" s="1360"/>
      <c r="LPU170" s="1360"/>
      <c r="LPV170" s="1360"/>
      <c r="LPW170" s="1360"/>
      <c r="LPX170" s="1362"/>
      <c r="LPY170" s="955"/>
      <c r="LPZ170" s="963"/>
      <c r="LQA170" s="2242"/>
      <c r="LQB170" s="1360"/>
      <c r="LQC170" s="1360"/>
      <c r="LQD170" s="1360"/>
      <c r="LQE170" s="1360"/>
      <c r="LQF170" s="1362"/>
      <c r="LQG170" s="955"/>
      <c r="LQH170" s="963"/>
      <c r="LQI170" s="2242"/>
      <c r="LQJ170" s="1360"/>
      <c r="LQK170" s="1360"/>
      <c r="LQL170" s="1360"/>
      <c r="LQM170" s="1360"/>
      <c r="LQN170" s="1362"/>
      <c r="LQO170" s="955"/>
      <c r="LQP170" s="963"/>
      <c r="LQQ170" s="2242"/>
      <c r="LQR170" s="1360"/>
      <c r="LQS170" s="1360"/>
      <c r="LQT170" s="1360"/>
      <c r="LQU170" s="1360"/>
      <c r="LQV170" s="1362"/>
      <c r="LQW170" s="955"/>
      <c r="LQX170" s="963"/>
      <c r="LQY170" s="2242"/>
      <c r="LQZ170" s="1360"/>
      <c r="LRA170" s="1360"/>
      <c r="LRB170" s="1360"/>
      <c r="LRC170" s="1360"/>
      <c r="LRD170" s="1362"/>
      <c r="LRE170" s="955"/>
      <c r="LRF170" s="963"/>
      <c r="LRG170" s="2242"/>
      <c r="LRH170" s="1360"/>
      <c r="LRI170" s="1360"/>
      <c r="LRJ170" s="1360"/>
      <c r="LRK170" s="1360"/>
      <c r="LRL170" s="1362"/>
      <c r="LRM170" s="955"/>
      <c r="LRN170" s="963"/>
      <c r="LRO170" s="2242"/>
      <c r="LRP170" s="1360"/>
      <c r="LRQ170" s="1360"/>
      <c r="LRR170" s="1360"/>
      <c r="LRS170" s="1360"/>
      <c r="LRT170" s="1362"/>
      <c r="LRU170" s="955"/>
      <c r="LRV170" s="963"/>
      <c r="LRW170" s="2242"/>
      <c r="LRX170" s="1360"/>
      <c r="LRY170" s="1360"/>
      <c r="LRZ170" s="1360"/>
      <c r="LSA170" s="1360"/>
      <c r="LSB170" s="1362"/>
      <c r="LSC170" s="955"/>
      <c r="LSD170" s="963"/>
      <c r="LSE170" s="2242"/>
      <c r="LSF170" s="1360"/>
      <c r="LSG170" s="1360"/>
      <c r="LSH170" s="1360"/>
      <c r="LSI170" s="1360"/>
      <c r="LSJ170" s="1362"/>
      <c r="LSK170" s="955"/>
      <c r="LSL170" s="963"/>
      <c r="LSM170" s="2242"/>
      <c r="LSN170" s="1360"/>
      <c r="LSO170" s="1360"/>
      <c r="LSP170" s="1360"/>
      <c r="LSQ170" s="1360"/>
      <c r="LSR170" s="1362"/>
      <c r="LSS170" s="955"/>
      <c r="LST170" s="963"/>
      <c r="LSU170" s="2242"/>
      <c r="LSV170" s="1360"/>
      <c r="LSW170" s="1360"/>
      <c r="LSX170" s="1360"/>
      <c r="LSY170" s="1360"/>
      <c r="LSZ170" s="1362"/>
      <c r="LTA170" s="955"/>
      <c r="LTB170" s="963"/>
      <c r="LTC170" s="2242"/>
      <c r="LTD170" s="1360"/>
      <c r="LTE170" s="1360"/>
      <c r="LTF170" s="1360"/>
      <c r="LTG170" s="1360"/>
      <c r="LTH170" s="1362"/>
      <c r="LTI170" s="955"/>
      <c r="LTJ170" s="963"/>
      <c r="LTK170" s="2242"/>
      <c r="LTL170" s="1360"/>
      <c r="LTM170" s="1360"/>
      <c r="LTN170" s="1360"/>
      <c r="LTO170" s="1360"/>
      <c r="LTP170" s="1362"/>
      <c r="LTQ170" s="955"/>
      <c r="LTR170" s="963"/>
      <c r="LTS170" s="2242"/>
      <c r="LTT170" s="1360"/>
      <c r="LTU170" s="1360"/>
      <c r="LTV170" s="1360"/>
      <c r="LTW170" s="1360"/>
      <c r="LTX170" s="1362"/>
      <c r="LTY170" s="955"/>
      <c r="LTZ170" s="963"/>
      <c r="LUA170" s="2242"/>
      <c r="LUB170" s="1360"/>
      <c r="LUC170" s="1360"/>
      <c r="LUD170" s="1360"/>
      <c r="LUE170" s="1360"/>
      <c r="LUF170" s="1362"/>
      <c r="LUG170" s="955"/>
      <c r="LUH170" s="963"/>
      <c r="LUI170" s="2242"/>
      <c r="LUJ170" s="1360"/>
      <c r="LUK170" s="1360"/>
      <c r="LUL170" s="1360"/>
      <c r="LUM170" s="1360"/>
      <c r="LUN170" s="1362"/>
      <c r="LUO170" s="955"/>
      <c r="LUP170" s="963"/>
      <c r="LUQ170" s="2242"/>
      <c r="LUR170" s="1360"/>
      <c r="LUS170" s="1360"/>
      <c r="LUT170" s="1360"/>
      <c r="LUU170" s="1360"/>
      <c r="LUV170" s="1362"/>
      <c r="LUW170" s="955"/>
      <c r="LUX170" s="963"/>
      <c r="LUY170" s="2242"/>
      <c r="LUZ170" s="1360"/>
      <c r="LVA170" s="1360"/>
      <c r="LVB170" s="1360"/>
      <c r="LVC170" s="1360"/>
      <c r="LVD170" s="1362"/>
      <c r="LVE170" s="955"/>
      <c r="LVF170" s="963"/>
      <c r="LVG170" s="2242"/>
      <c r="LVH170" s="1360"/>
      <c r="LVI170" s="1360"/>
      <c r="LVJ170" s="1360"/>
      <c r="LVK170" s="1360"/>
      <c r="LVL170" s="1362"/>
      <c r="LVM170" s="955"/>
      <c r="LVN170" s="963"/>
      <c r="LVO170" s="2242"/>
      <c r="LVP170" s="1360"/>
      <c r="LVQ170" s="1360"/>
      <c r="LVR170" s="1360"/>
      <c r="LVS170" s="1360"/>
      <c r="LVT170" s="1362"/>
      <c r="LVU170" s="955"/>
      <c r="LVV170" s="963"/>
      <c r="LVW170" s="2242"/>
      <c r="LVX170" s="1360"/>
      <c r="LVY170" s="1360"/>
      <c r="LVZ170" s="1360"/>
      <c r="LWA170" s="1360"/>
      <c r="LWB170" s="1362"/>
      <c r="LWC170" s="955"/>
      <c r="LWD170" s="963"/>
      <c r="LWE170" s="2242"/>
      <c r="LWF170" s="1360"/>
      <c r="LWG170" s="1360"/>
      <c r="LWH170" s="1360"/>
      <c r="LWI170" s="1360"/>
      <c r="LWJ170" s="1362"/>
      <c r="LWK170" s="955"/>
      <c r="LWL170" s="963"/>
      <c r="LWM170" s="2242"/>
      <c r="LWN170" s="1360"/>
      <c r="LWO170" s="1360"/>
      <c r="LWP170" s="1360"/>
      <c r="LWQ170" s="1360"/>
      <c r="LWR170" s="1362"/>
      <c r="LWS170" s="955"/>
      <c r="LWT170" s="963"/>
      <c r="LWU170" s="2242"/>
      <c r="LWV170" s="1360"/>
      <c r="LWW170" s="1360"/>
      <c r="LWX170" s="1360"/>
      <c r="LWY170" s="1360"/>
      <c r="LWZ170" s="1362"/>
      <c r="LXA170" s="955"/>
      <c r="LXB170" s="963"/>
      <c r="LXC170" s="2242"/>
      <c r="LXD170" s="1360"/>
      <c r="LXE170" s="1360"/>
      <c r="LXF170" s="1360"/>
      <c r="LXG170" s="1360"/>
      <c r="LXH170" s="1362"/>
      <c r="LXI170" s="955"/>
      <c r="LXJ170" s="963"/>
      <c r="LXK170" s="2242"/>
      <c r="LXL170" s="1360"/>
      <c r="LXM170" s="1360"/>
      <c r="LXN170" s="1360"/>
      <c r="LXO170" s="1360"/>
      <c r="LXP170" s="1362"/>
      <c r="LXQ170" s="955"/>
      <c r="LXR170" s="963"/>
      <c r="LXS170" s="2242"/>
      <c r="LXT170" s="1360"/>
      <c r="LXU170" s="1360"/>
      <c r="LXV170" s="1360"/>
      <c r="LXW170" s="1360"/>
      <c r="LXX170" s="1362"/>
      <c r="LXY170" s="955"/>
      <c r="LXZ170" s="963"/>
      <c r="LYA170" s="2242"/>
      <c r="LYB170" s="1360"/>
      <c r="LYC170" s="1360"/>
      <c r="LYD170" s="1360"/>
      <c r="LYE170" s="1360"/>
      <c r="LYF170" s="1362"/>
      <c r="LYG170" s="955"/>
      <c r="LYH170" s="963"/>
      <c r="LYI170" s="2242"/>
      <c r="LYJ170" s="1360"/>
      <c r="LYK170" s="1360"/>
      <c r="LYL170" s="1360"/>
      <c r="LYM170" s="1360"/>
      <c r="LYN170" s="1362"/>
      <c r="LYO170" s="955"/>
      <c r="LYP170" s="963"/>
      <c r="LYQ170" s="2242"/>
      <c r="LYR170" s="1360"/>
      <c r="LYS170" s="1360"/>
      <c r="LYT170" s="1360"/>
      <c r="LYU170" s="1360"/>
      <c r="LYV170" s="1362"/>
      <c r="LYW170" s="955"/>
      <c r="LYX170" s="963"/>
      <c r="LYY170" s="2242"/>
      <c r="LYZ170" s="1360"/>
      <c r="LZA170" s="1360"/>
      <c r="LZB170" s="1360"/>
      <c r="LZC170" s="1360"/>
      <c r="LZD170" s="1362"/>
      <c r="LZE170" s="955"/>
      <c r="LZF170" s="963"/>
      <c r="LZG170" s="2242"/>
      <c r="LZH170" s="1360"/>
      <c r="LZI170" s="1360"/>
      <c r="LZJ170" s="1360"/>
      <c r="LZK170" s="1360"/>
      <c r="LZL170" s="1362"/>
      <c r="LZM170" s="955"/>
      <c r="LZN170" s="963"/>
      <c r="LZO170" s="2242"/>
      <c r="LZP170" s="1360"/>
      <c r="LZQ170" s="1360"/>
      <c r="LZR170" s="1360"/>
      <c r="LZS170" s="1360"/>
      <c r="LZT170" s="1362"/>
      <c r="LZU170" s="955"/>
      <c r="LZV170" s="963"/>
      <c r="LZW170" s="2242"/>
      <c r="LZX170" s="1360"/>
      <c r="LZY170" s="1360"/>
      <c r="LZZ170" s="1360"/>
      <c r="MAA170" s="1360"/>
      <c r="MAB170" s="1362"/>
      <c r="MAC170" s="955"/>
      <c r="MAD170" s="963"/>
      <c r="MAE170" s="2242"/>
      <c r="MAF170" s="1360"/>
      <c r="MAG170" s="1360"/>
      <c r="MAH170" s="1360"/>
      <c r="MAI170" s="1360"/>
      <c r="MAJ170" s="1362"/>
      <c r="MAK170" s="955"/>
      <c r="MAL170" s="963"/>
      <c r="MAM170" s="2242"/>
      <c r="MAN170" s="1360"/>
      <c r="MAO170" s="1360"/>
      <c r="MAP170" s="1360"/>
      <c r="MAQ170" s="1360"/>
      <c r="MAR170" s="1362"/>
      <c r="MAS170" s="955"/>
      <c r="MAT170" s="963"/>
      <c r="MAU170" s="2242"/>
      <c r="MAV170" s="1360"/>
      <c r="MAW170" s="1360"/>
      <c r="MAX170" s="1360"/>
      <c r="MAY170" s="1360"/>
      <c r="MAZ170" s="1362"/>
      <c r="MBA170" s="955"/>
      <c r="MBB170" s="963"/>
      <c r="MBC170" s="2242"/>
      <c r="MBD170" s="1360"/>
      <c r="MBE170" s="1360"/>
      <c r="MBF170" s="1360"/>
      <c r="MBG170" s="1360"/>
      <c r="MBH170" s="1362"/>
      <c r="MBI170" s="955"/>
      <c r="MBJ170" s="963"/>
      <c r="MBK170" s="2242"/>
      <c r="MBL170" s="1360"/>
      <c r="MBM170" s="1360"/>
      <c r="MBN170" s="1360"/>
      <c r="MBO170" s="1360"/>
      <c r="MBP170" s="1362"/>
      <c r="MBQ170" s="955"/>
      <c r="MBR170" s="963"/>
      <c r="MBS170" s="2242"/>
      <c r="MBT170" s="1360"/>
      <c r="MBU170" s="1360"/>
      <c r="MBV170" s="1360"/>
      <c r="MBW170" s="1360"/>
      <c r="MBX170" s="1362"/>
      <c r="MBY170" s="955"/>
      <c r="MBZ170" s="963"/>
      <c r="MCA170" s="2242"/>
      <c r="MCB170" s="1360"/>
      <c r="MCC170" s="1360"/>
      <c r="MCD170" s="1360"/>
      <c r="MCE170" s="1360"/>
      <c r="MCF170" s="1362"/>
      <c r="MCG170" s="955"/>
      <c r="MCH170" s="963"/>
      <c r="MCI170" s="2242"/>
      <c r="MCJ170" s="1360"/>
      <c r="MCK170" s="1360"/>
      <c r="MCL170" s="1360"/>
      <c r="MCM170" s="1360"/>
      <c r="MCN170" s="1362"/>
      <c r="MCO170" s="955"/>
      <c r="MCP170" s="963"/>
      <c r="MCQ170" s="2242"/>
      <c r="MCR170" s="1360"/>
      <c r="MCS170" s="1360"/>
      <c r="MCT170" s="1360"/>
      <c r="MCU170" s="1360"/>
      <c r="MCV170" s="1362"/>
      <c r="MCW170" s="955"/>
      <c r="MCX170" s="963"/>
      <c r="MCY170" s="2242"/>
      <c r="MCZ170" s="1360"/>
      <c r="MDA170" s="1360"/>
      <c r="MDB170" s="1360"/>
      <c r="MDC170" s="1360"/>
      <c r="MDD170" s="1362"/>
      <c r="MDE170" s="955"/>
      <c r="MDF170" s="963"/>
      <c r="MDG170" s="2242"/>
      <c r="MDH170" s="1360"/>
      <c r="MDI170" s="1360"/>
      <c r="MDJ170" s="1360"/>
      <c r="MDK170" s="1360"/>
      <c r="MDL170" s="1362"/>
      <c r="MDM170" s="955"/>
      <c r="MDN170" s="963"/>
      <c r="MDO170" s="2242"/>
      <c r="MDP170" s="1360"/>
      <c r="MDQ170" s="1360"/>
      <c r="MDR170" s="1360"/>
      <c r="MDS170" s="1360"/>
      <c r="MDT170" s="1362"/>
      <c r="MDU170" s="955"/>
      <c r="MDV170" s="963"/>
      <c r="MDW170" s="2242"/>
      <c r="MDX170" s="1360"/>
      <c r="MDY170" s="1360"/>
      <c r="MDZ170" s="1360"/>
      <c r="MEA170" s="1360"/>
      <c r="MEB170" s="1362"/>
      <c r="MEC170" s="955"/>
      <c r="MED170" s="963"/>
      <c r="MEE170" s="2242"/>
      <c r="MEF170" s="1360"/>
      <c r="MEG170" s="1360"/>
      <c r="MEH170" s="1360"/>
      <c r="MEI170" s="1360"/>
      <c r="MEJ170" s="1362"/>
      <c r="MEK170" s="955"/>
      <c r="MEL170" s="963"/>
      <c r="MEM170" s="2242"/>
      <c r="MEN170" s="1360"/>
      <c r="MEO170" s="1360"/>
      <c r="MEP170" s="1360"/>
      <c r="MEQ170" s="1360"/>
      <c r="MER170" s="1362"/>
      <c r="MES170" s="955"/>
      <c r="MET170" s="963"/>
      <c r="MEU170" s="2242"/>
      <c r="MEV170" s="1360"/>
      <c r="MEW170" s="1360"/>
      <c r="MEX170" s="1360"/>
      <c r="MEY170" s="1360"/>
      <c r="MEZ170" s="1362"/>
      <c r="MFA170" s="955"/>
      <c r="MFB170" s="963"/>
      <c r="MFC170" s="2242"/>
      <c r="MFD170" s="1360"/>
      <c r="MFE170" s="1360"/>
      <c r="MFF170" s="1360"/>
      <c r="MFG170" s="1360"/>
      <c r="MFH170" s="1362"/>
      <c r="MFI170" s="955"/>
      <c r="MFJ170" s="963"/>
      <c r="MFK170" s="2242"/>
      <c r="MFL170" s="1360"/>
      <c r="MFM170" s="1360"/>
      <c r="MFN170" s="1360"/>
      <c r="MFO170" s="1360"/>
      <c r="MFP170" s="1362"/>
      <c r="MFQ170" s="955"/>
      <c r="MFR170" s="963"/>
      <c r="MFS170" s="2242"/>
      <c r="MFT170" s="1360"/>
      <c r="MFU170" s="1360"/>
      <c r="MFV170" s="1360"/>
      <c r="MFW170" s="1360"/>
      <c r="MFX170" s="1362"/>
      <c r="MFY170" s="955"/>
      <c r="MFZ170" s="963"/>
      <c r="MGA170" s="2242"/>
      <c r="MGB170" s="1360"/>
      <c r="MGC170" s="1360"/>
      <c r="MGD170" s="1360"/>
      <c r="MGE170" s="1360"/>
      <c r="MGF170" s="1362"/>
      <c r="MGG170" s="955"/>
      <c r="MGH170" s="963"/>
      <c r="MGI170" s="2242"/>
      <c r="MGJ170" s="1360"/>
      <c r="MGK170" s="1360"/>
      <c r="MGL170" s="1360"/>
      <c r="MGM170" s="1360"/>
      <c r="MGN170" s="1362"/>
      <c r="MGO170" s="955"/>
      <c r="MGP170" s="963"/>
      <c r="MGQ170" s="2242"/>
      <c r="MGR170" s="1360"/>
      <c r="MGS170" s="1360"/>
      <c r="MGT170" s="1360"/>
      <c r="MGU170" s="1360"/>
      <c r="MGV170" s="1362"/>
      <c r="MGW170" s="955"/>
      <c r="MGX170" s="963"/>
      <c r="MGY170" s="2242"/>
      <c r="MGZ170" s="1360"/>
      <c r="MHA170" s="1360"/>
      <c r="MHB170" s="1360"/>
      <c r="MHC170" s="1360"/>
      <c r="MHD170" s="1362"/>
      <c r="MHE170" s="955"/>
      <c r="MHF170" s="963"/>
      <c r="MHG170" s="2242"/>
      <c r="MHH170" s="1360"/>
      <c r="MHI170" s="1360"/>
      <c r="MHJ170" s="1360"/>
      <c r="MHK170" s="1360"/>
      <c r="MHL170" s="1362"/>
      <c r="MHM170" s="955"/>
      <c r="MHN170" s="963"/>
      <c r="MHO170" s="2242"/>
      <c r="MHP170" s="1360"/>
      <c r="MHQ170" s="1360"/>
      <c r="MHR170" s="1360"/>
      <c r="MHS170" s="1360"/>
      <c r="MHT170" s="1362"/>
      <c r="MHU170" s="955"/>
      <c r="MHV170" s="963"/>
      <c r="MHW170" s="2242"/>
      <c r="MHX170" s="1360"/>
      <c r="MHY170" s="1360"/>
      <c r="MHZ170" s="1360"/>
      <c r="MIA170" s="1360"/>
      <c r="MIB170" s="1362"/>
      <c r="MIC170" s="955"/>
      <c r="MID170" s="963"/>
      <c r="MIE170" s="2242"/>
      <c r="MIF170" s="1360"/>
      <c r="MIG170" s="1360"/>
      <c r="MIH170" s="1360"/>
      <c r="MII170" s="1360"/>
      <c r="MIJ170" s="1362"/>
      <c r="MIK170" s="955"/>
      <c r="MIL170" s="963"/>
      <c r="MIM170" s="2242"/>
      <c r="MIN170" s="1360"/>
      <c r="MIO170" s="1360"/>
      <c r="MIP170" s="1360"/>
      <c r="MIQ170" s="1360"/>
      <c r="MIR170" s="1362"/>
      <c r="MIS170" s="955"/>
      <c r="MIT170" s="963"/>
      <c r="MIU170" s="2242"/>
      <c r="MIV170" s="1360"/>
      <c r="MIW170" s="1360"/>
      <c r="MIX170" s="1360"/>
      <c r="MIY170" s="1360"/>
      <c r="MIZ170" s="1362"/>
      <c r="MJA170" s="955"/>
      <c r="MJB170" s="963"/>
      <c r="MJC170" s="2242"/>
      <c r="MJD170" s="1360"/>
      <c r="MJE170" s="1360"/>
      <c r="MJF170" s="1360"/>
      <c r="MJG170" s="1360"/>
      <c r="MJH170" s="1362"/>
      <c r="MJI170" s="955"/>
      <c r="MJJ170" s="963"/>
      <c r="MJK170" s="2242"/>
      <c r="MJL170" s="1360"/>
      <c r="MJM170" s="1360"/>
      <c r="MJN170" s="1360"/>
      <c r="MJO170" s="1360"/>
      <c r="MJP170" s="1362"/>
      <c r="MJQ170" s="955"/>
      <c r="MJR170" s="963"/>
      <c r="MJS170" s="2242"/>
      <c r="MJT170" s="1360"/>
      <c r="MJU170" s="1360"/>
      <c r="MJV170" s="1360"/>
      <c r="MJW170" s="1360"/>
      <c r="MJX170" s="1362"/>
      <c r="MJY170" s="955"/>
      <c r="MJZ170" s="963"/>
      <c r="MKA170" s="2242"/>
      <c r="MKB170" s="1360"/>
      <c r="MKC170" s="1360"/>
      <c r="MKD170" s="1360"/>
      <c r="MKE170" s="1360"/>
      <c r="MKF170" s="1362"/>
      <c r="MKG170" s="955"/>
      <c r="MKH170" s="963"/>
      <c r="MKI170" s="2242"/>
      <c r="MKJ170" s="1360"/>
      <c r="MKK170" s="1360"/>
      <c r="MKL170" s="1360"/>
      <c r="MKM170" s="1360"/>
      <c r="MKN170" s="1362"/>
      <c r="MKO170" s="955"/>
      <c r="MKP170" s="963"/>
      <c r="MKQ170" s="2242"/>
      <c r="MKR170" s="1360"/>
      <c r="MKS170" s="1360"/>
      <c r="MKT170" s="1360"/>
      <c r="MKU170" s="1360"/>
      <c r="MKV170" s="1362"/>
      <c r="MKW170" s="955"/>
      <c r="MKX170" s="963"/>
      <c r="MKY170" s="2242"/>
      <c r="MKZ170" s="1360"/>
      <c r="MLA170" s="1360"/>
      <c r="MLB170" s="1360"/>
      <c r="MLC170" s="1360"/>
      <c r="MLD170" s="1362"/>
      <c r="MLE170" s="955"/>
      <c r="MLF170" s="963"/>
      <c r="MLG170" s="2242"/>
      <c r="MLH170" s="1360"/>
      <c r="MLI170" s="1360"/>
      <c r="MLJ170" s="1360"/>
      <c r="MLK170" s="1360"/>
      <c r="MLL170" s="1362"/>
      <c r="MLM170" s="955"/>
      <c r="MLN170" s="963"/>
      <c r="MLO170" s="2242"/>
      <c r="MLP170" s="1360"/>
      <c r="MLQ170" s="1360"/>
      <c r="MLR170" s="1360"/>
      <c r="MLS170" s="1360"/>
      <c r="MLT170" s="1362"/>
      <c r="MLU170" s="955"/>
      <c r="MLV170" s="963"/>
      <c r="MLW170" s="2242"/>
      <c r="MLX170" s="1360"/>
      <c r="MLY170" s="1360"/>
      <c r="MLZ170" s="1360"/>
      <c r="MMA170" s="1360"/>
      <c r="MMB170" s="1362"/>
      <c r="MMC170" s="955"/>
      <c r="MMD170" s="963"/>
      <c r="MME170" s="2242"/>
      <c r="MMF170" s="1360"/>
      <c r="MMG170" s="1360"/>
      <c r="MMH170" s="1360"/>
      <c r="MMI170" s="1360"/>
      <c r="MMJ170" s="1362"/>
      <c r="MMK170" s="955"/>
      <c r="MML170" s="963"/>
      <c r="MMM170" s="2242"/>
      <c r="MMN170" s="1360"/>
      <c r="MMO170" s="1360"/>
      <c r="MMP170" s="1360"/>
      <c r="MMQ170" s="1360"/>
      <c r="MMR170" s="1362"/>
      <c r="MMS170" s="955"/>
      <c r="MMT170" s="963"/>
      <c r="MMU170" s="2242"/>
      <c r="MMV170" s="1360"/>
      <c r="MMW170" s="1360"/>
      <c r="MMX170" s="1360"/>
      <c r="MMY170" s="1360"/>
      <c r="MMZ170" s="1362"/>
      <c r="MNA170" s="955"/>
      <c r="MNB170" s="963"/>
      <c r="MNC170" s="2242"/>
      <c r="MND170" s="1360"/>
      <c r="MNE170" s="1360"/>
      <c r="MNF170" s="1360"/>
      <c r="MNG170" s="1360"/>
      <c r="MNH170" s="1362"/>
      <c r="MNI170" s="955"/>
      <c r="MNJ170" s="963"/>
      <c r="MNK170" s="2242"/>
      <c r="MNL170" s="1360"/>
      <c r="MNM170" s="1360"/>
      <c r="MNN170" s="1360"/>
      <c r="MNO170" s="1360"/>
      <c r="MNP170" s="1362"/>
      <c r="MNQ170" s="955"/>
      <c r="MNR170" s="963"/>
      <c r="MNS170" s="2242"/>
      <c r="MNT170" s="1360"/>
      <c r="MNU170" s="1360"/>
      <c r="MNV170" s="1360"/>
      <c r="MNW170" s="1360"/>
      <c r="MNX170" s="1362"/>
      <c r="MNY170" s="955"/>
      <c r="MNZ170" s="963"/>
      <c r="MOA170" s="2242"/>
      <c r="MOB170" s="1360"/>
      <c r="MOC170" s="1360"/>
      <c r="MOD170" s="1360"/>
      <c r="MOE170" s="1360"/>
      <c r="MOF170" s="1362"/>
      <c r="MOG170" s="955"/>
      <c r="MOH170" s="963"/>
      <c r="MOI170" s="2242"/>
      <c r="MOJ170" s="1360"/>
      <c r="MOK170" s="1360"/>
      <c r="MOL170" s="1360"/>
      <c r="MOM170" s="1360"/>
      <c r="MON170" s="1362"/>
      <c r="MOO170" s="955"/>
      <c r="MOP170" s="963"/>
      <c r="MOQ170" s="2242"/>
      <c r="MOR170" s="1360"/>
      <c r="MOS170" s="1360"/>
      <c r="MOT170" s="1360"/>
      <c r="MOU170" s="1360"/>
      <c r="MOV170" s="1362"/>
      <c r="MOW170" s="955"/>
      <c r="MOX170" s="963"/>
      <c r="MOY170" s="2242"/>
      <c r="MOZ170" s="1360"/>
      <c r="MPA170" s="1360"/>
      <c r="MPB170" s="1360"/>
      <c r="MPC170" s="1360"/>
      <c r="MPD170" s="1362"/>
      <c r="MPE170" s="955"/>
      <c r="MPF170" s="963"/>
      <c r="MPG170" s="2242"/>
      <c r="MPH170" s="1360"/>
      <c r="MPI170" s="1360"/>
      <c r="MPJ170" s="1360"/>
      <c r="MPK170" s="1360"/>
      <c r="MPL170" s="1362"/>
      <c r="MPM170" s="955"/>
      <c r="MPN170" s="963"/>
      <c r="MPO170" s="2242"/>
      <c r="MPP170" s="1360"/>
      <c r="MPQ170" s="1360"/>
      <c r="MPR170" s="1360"/>
      <c r="MPS170" s="1360"/>
      <c r="MPT170" s="1362"/>
      <c r="MPU170" s="955"/>
      <c r="MPV170" s="963"/>
      <c r="MPW170" s="2242"/>
      <c r="MPX170" s="1360"/>
      <c r="MPY170" s="1360"/>
      <c r="MPZ170" s="1360"/>
      <c r="MQA170" s="1360"/>
      <c r="MQB170" s="1362"/>
      <c r="MQC170" s="955"/>
      <c r="MQD170" s="963"/>
      <c r="MQE170" s="2242"/>
      <c r="MQF170" s="1360"/>
      <c r="MQG170" s="1360"/>
      <c r="MQH170" s="1360"/>
      <c r="MQI170" s="1360"/>
      <c r="MQJ170" s="1362"/>
      <c r="MQK170" s="955"/>
      <c r="MQL170" s="963"/>
      <c r="MQM170" s="2242"/>
      <c r="MQN170" s="1360"/>
      <c r="MQO170" s="1360"/>
      <c r="MQP170" s="1360"/>
      <c r="MQQ170" s="1360"/>
      <c r="MQR170" s="1362"/>
      <c r="MQS170" s="955"/>
      <c r="MQT170" s="963"/>
      <c r="MQU170" s="2242"/>
      <c r="MQV170" s="1360"/>
      <c r="MQW170" s="1360"/>
      <c r="MQX170" s="1360"/>
      <c r="MQY170" s="1360"/>
      <c r="MQZ170" s="1362"/>
      <c r="MRA170" s="955"/>
      <c r="MRB170" s="963"/>
      <c r="MRC170" s="2242"/>
      <c r="MRD170" s="1360"/>
      <c r="MRE170" s="1360"/>
      <c r="MRF170" s="1360"/>
      <c r="MRG170" s="1360"/>
      <c r="MRH170" s="1362"/>
      <c r="MRI170" s="955"/>
      <c r="MRJ170" s="963"/>
      <c r="MRK170" s="2242"/>
      <c r="MRL170" s="1360"/>
      <c r="MRM170" s="1360"/>
      <c r="MRN170" s="1360"/>
      <c r="MRO170" s="1360"/>
      <c r="MRP170" s="1362"/>
      <c r="MRQ170" s="955"/>
      <c r="MRR170" s="963"/>
      <c r="MRS170" s="2242"/>
      <c r="MRT170" s="1360"/>
      <c r="MRU170" s="1360"/>
      <c r="MRV170" s="1360"/>
      <c r="MRW170" s="1360"/>
      <c r="MRX170" s="1362"/>
      <c r="MRY170" s="955"/>
      <c r="MRZ170" s="963"/>
      <c r="MSA170" s="2242"/>
      <c r="MSB170" s="1360"/>
      <c r="MSC170" s="1360"/>
      <c r="MSD170" s="1360"/>
      <c r="MSE170" s="1360"/>
      <c r="MSF170" s="1362"/>
      <c r="MSG170" s="955"/>
      <c r="MSH170" s="963"/>
      <c r="MSI170" s="2242"/>
      <c r="MSJ170" s="1360"/>
      <c r="MSK170" s="1360"/>
      <c r="MSL170" s="1360"/>
      <c r="MSM170" s="1360"/>
      <c r="MSN170" s="1362"/>
      <c r="MSO170" s="955"/>
      <c r="MSP170" s="963"/>
      <c r="MSQ170" s="2242"/>
      <c r="MSR170" s="1360"/>
      <c r="MSS170" s="1360"/>
      <c r="MST170" s="1360"/>
      <c r="MSU170" s="1360"/>
      <c r="MSV170" s="1362"/>
      <c r="MSW170" s="955"/>
      <c r="MSX170" s="963"/>
      <c r="MSY170" s="2242"/>
      <c r="MSZ170" s="1360"/>
      <c r="MTA170" s="1360"/>
      <c r="MTB170" s="1360"/>
      <c r="MTC170" s="1360"/>
      <c r="MTD170" s="1362"/>
      <c r="MTE170" s="955"/>
      <c r="MTF170" s="963"/>
      <c r="MTG170" s="2242"/>
      <c r="MTH170" s="1360"/>
      <c r="MTI170" s="1360"/>
      <c r="MTJ170" s="1360"/>
      <c r="MTK170" s="1360"/>
      <c r="MTL170" s="1362"/>
      <c r="MTM170" s="955"/>
      <c r="MTN170" s="963"/>
      <c r="MTO170" s="2242"/>
      <c r="MTP170" s="1360"/>
      <c r="MTQ170" s="1360"/>
      <c r="MTR170" s="1360"/>
      <c r="MTS170" s="1360"/>
      <c r="MTT170" s="1362"/>
      <c r="MTU170" s="955"/>
      <c r="MTV170" s="963"/>
      <c r="MTW170" s="2242"/>
      <c r="MTX170" s="1360"/>
      <c r="MTY170" s="1360"/>
      <c r="MTZ170" s="1360"/>
      <c r="MUA170" s="1360"/>
      <c r="MUB170" s="1362"/>
      <c r="MUC170" s="955"/>
      <c r="MUD170" s="963"/>
      <c r="MUE170" s="2242"/>
      <c r="MUF170" s="1360"/>
      <c r="MUG170" s="1360"/>
      <c r="MUH170" s="1360"/>
      <c r="MUI170" s="1360"/>
      <c r="MUJ170" s="1362"/>
      <c r="MUK170" s="955"/>
      <c r="MUL170" s="963"/>
      <c r="MUM170" s="2242"/>
      <c r="MUN170" s="1360"/>
      <c r="MUO170" s="1360"/>
      <c r="MUP170" s="1360"/>
      <c r="MUQ170" s="1360"/>
      <c r="MUR170" s="1362"/>
      <c r="MUS170" s="955"/>
      <c r="MUT170" s="963"/>
      <c r="MUU170" s="2242"/>
      <c r="MUV170" s="1360"/>
      <c r="MUW170" s="1360"/>
      <c r="MUX170" s="1360"/>
      <c r="MUY170" s="1360"/>
      <c r="MUZ170" s="1362"/>
      <c r="MVA170" s="955"/>
      <c r="MVB170" s="963"/>
      <c r="MVC170" s="2242"/>
      <c r="MVD170" s="1360"/>
      <c r="MVE170" s="1360"/>
      <c r="MVF170" s="1360"/>
      <c r="MVG170" s="1360"/>
      <c r="MVH170" s="1362"/>
      <c r="MVI170" s="955"/>
      <c r="MVJ170" s="963"/>
      <c r="MVK170" s="2242"/>
      <c r="MVL170" s="1360"/>
      <c r="MVM170" s="1360"/>
      <c r="MVN170" s="1360"/>
      <c r="MVO170" s="1360"/>
      <c r="MVP170" s="1362"/>
      <c r="MVQ170" s="955"/>
      <c r="MVR170" s="963"/>
      <c r="MVS170" s="2242"/>
      <c r="MVT170" s="1360"/>
      <c r="MVU170" s="1360"/>
      <c r="MVV170" s="1360"/>
      <c r="MVW170" s="1360"/>
      <c r="MVX170" s="1362"/>
      <c r="MVY170" s="955"/>
      <c r="MVZ170" s="963"/>
      <c r="MWA170" s="2242"/>
      <c r="MWB170" s="1360"/>
      <c r="MWC170" s="1360"/>
      <c r="MWD170" s="1360"/>
      <c r="MWE170" s="1360"/>
      <c r="MWF170" s="1362"/>
      <c r="MWG170" s="955"/>
      <c r="MWH170" s="963"/>
      <c r="MWI170" s="2242"/>
      <c r="MWJ170" s="1360"/>
      <c r="MWK170" s="1360"/>
      <c r="MWL170" s="1360"/>
      <c r="MWM170" s="1360"/>
      <c r="MWN170" s="1362"/>
      <c r="MWO170" s="955"/>
      <c r="MWP170" s="963"/>
      <c r="MWQ170" s="2242"/>
      <c r="MWR170" s="1360"/>
      <c r="MWS170" s="1360"/>
      <c r="MWT170" s="1360"/>
      <c r="MWU170" s="1360"/>
      <c r="MWV170" s="1362"/>
      <c r="MWW170" s="955"/>
      <c r="MWX170" s="963"/>
      <c r="MWY170" s="2242"/>
      <c r="MWZ170" s="1360"/>
      <c r="MXA170" s="1360"/>
      <c r="MXB170" s="1360"/>
      <c r="MXC170" s="1360"/>
      <c r="MXD170" s="1362"/>
      <c r="MXE170" s="955"/>
      <c r="MXF170" s="963"/>
      <c r="MXG170" s="2242"/>
      <c r="MXH170" s="1360"/>
      <c r="MXI170" s="1360"/>
      <c r="MXJ170" s="1360"/>
      <c r="MXK170" s="1360"/>
      <c r="MXL170" s="1362"/>
      <c r="MXM170" s="955"/>
      <c r="MXN170" s="963"/>
      <c r="MXO170" s="2242"/>
      <c r="MXP170" s="1360"/>
      <c r="MXQ170" s="1360"/>
      <c r="MXR170" s="1360"/>
      <c r="MXS170" s="1360"/>
      <c r="MXT170" s="1362"/>
      <c r="MXU170" s="955"/>
      <c r="MXV170" s="963"/>
      <c r="MXW170" s="2242"/>
      <c r="MXX170" s="1360"/>
      <c r="MXY170" s="1360"/>
      <c r="MXZ170" s="1360"/>
      <c r="MYA170" s="1360"/>
      <c r="MYB170" s="1362"/>
      <c r="MYC170" s="955"/>
      <c r="MYD170" s="963"/>
      <c r="MYE170" s="2242"/>
      <c r="MYF170" s="1360"/>
      <c r="MYG170" s="1360"/>
      <c r="MYH170" s="1360"/>
      <c r="MYI170" s="1360"/>
      <c r="MYJ170" s="1362"/>
      <c r="MYK170" s="955"/>
      <c r="MYL170" s="963"/>
      <c r="MYM170" s="2242"/>
      <c r="MYN170" s="1360"/>
      <c r="MYO170" s="1360"/>
      <c r="MYP170" s="1360"/>
      <c r="MYQ170" s="1360"/>
      <c r="MYR170" s="1362"/>
      <c r="MYS170" s="955"/>
      <c r="MYT170" s="963"/>
      <c r="MYU170" s="2242"/>
      <c r="MYV170" s="1360"/>
      <c r="MYW170" s="1360"/>
      <c r="MYX170" s="1360"/>
      <c r="MYY170" s="1360"/>
      <c r="MYZ170" s="1362"/>
      <c r="MZA170" s="955"/>
      <c r="MZB170" s="963"/>
      <c r="MZC170" s="2242"/>
      <c r="MZD170" s="1360"/>
      <c r="MZE170" s="1360"/>
      <c r="MZF170" s="1360"/>
      <c r="MZG170" s="1360"/>
      <c r="MZH170" s="1362"/>
      <c r="MZI170" s="955"/>
      <c r="MZJ170" s="963"/>
      <c r="MZK170" s="2242"/>
      <c r="MZL170" s="1360"/>
      <c r="MZM170" s="1360"/>
      <c r="MZN170" s="1360"/>
      <c r="MZO170" s="1360"/>
      <c r="MZP170" s="1362"/>
      <c r="MZQ170" s="955"/>
      <c r="MZR170" s="963"/>
      <c r="MZS170" s="2242"/>
      <c r="MZT170" s="1360"/>
      <c r="MZU170" s="1360"/>
      <c r="MZV170" s="1360"/>
      <c r="MZW170" s="1360"/>
      <c r="MZX170" s="1362"/>
      <c r="MZY170" s="955"/>
      <c r="MZZ170" s="963"/>
      <c r="NAA170" s="2242"/>
      <c r="NAB170" s="1360"/>
      <c r="NAC170" s="1360"/>
      <c r="NAD170" s="1360"/>
      <c r="NAE170" s="1360"/>
      <c r="NAF170" s="1362"/>
      <c r="NAG170" s="955"/>
      <c r="NAH170" s="963"/>
      <c r="NAI170" s="2242"/>
      <c r="NAJ170" s="1360"/>
      <c r="NAK170" s="1360"/>
      <c r="NAL170" s="1360"/>
      <c r="NAM170" s="1360"/>
      <c r="NAN170" s="1362"/>
      <c r="NAO170" s="955"/>
      <c r="NAP170" s="963"/>
      <c r="NAQ170" s="2242"/>
      <c r="NAR170" s="1360"/>
      <c r="NAS170" s="1360"/>
      <c r="NAT170" s="1360"/>
      <c r="NAU170" s="1360"/>
      <c r="NAV170" s="1362"/>
      <c r="NAW170" s="955"/>
      <c r="NAX170" s="963"/>
      <c r="NAY170" s="2242"/>
      <c r="NAZ170" s="1360"/>
      <c r="NBA170" s="1360"/>
      <c r="NBB170" s="1360"/>
      <c r="NBC170" s="1360"/>
      <c r="NBD170" s="1362"/>
      <c r="NBE170" s="955"/>
      <c r="NBF170" s="963"/>
      <c r="NBG170" s="2242"/>
      <c r="NBH170" s="1360"/>
      <c r="NBI170" s="1360"/>
      <c r="NBJ170" s="1360"/>
      <c r="NBK170" s="1360"/>
      <c r="NBL170" s="1362"/>
      <c r="NBM170" s="955"/>
      <c r="NBN170" s="963"/>
      <c r="NBO170" s="2242"/>
      <c r="NBP170" s="1360"/>
      <c r="NBQ170" s="1360"/>
      <c r="NBR170" s="1360"/>
      <c r="NBS170" s="1360"/>
      <c r="NBT170" s="1362"/>
      <c r="NBU170" s="955"/>
      <c r="NBV170" s="963"/>
      <c r="NBW170" s="2242"/>
      <c r="NBX170" s="1360"/>
      <c r="NBY170" s="1360"/>
      <c r="NBZ170" s="1360"/>
      <c r="NCA170" s="1360"/>
      <c r="NCB170" s="1362"/>
      <c r="NCC170" s="955"/>
      <c r="NCD170" s="963"/>
      <c r="NCE170" s="2242"/>
      <c r="NCF170" s="1360"/>
      <c r="NCG170" s="1360"/>
      <c r="NCH170" s="1360"/>
      <c r="NCI170" s="1360"/>
      <c r="NCJ170" s="1362"/>
      <c r="NCK170" s="955"/>
      <c r="NCL170" s="963"/>
      <c r="NCM170" s="2242"/>
      <c r="NCN170" s="1360"/>
      <c r="NCO170" s="1360"/>
      <c r="NCP170" s="1360"/>
      <c r="NCQ170" s="1360"/>
      <c r="NCR170" s="1362"/>
      <c r="NCS170" s="955"/>
      <c r="NCT170" s="963"/>
      <c r="NCU170" s="2242"/>
      <c r="NCV170" s="1360"/>
      <c r="NCW170" s="1360"/>
      <c r="NCX170" s="1360"/>
      <c r="NCY170" s="1360"/>
      <c r="NCZ170" s="1362"/>
      <c r="NDA170" s="955"/>
      <c r="NDB170" s="963"/>
      <c r="NDC170" s="2242"/>
      <c r="NDD170" s="1360"/>
      <c r="NDE170" s="1360"/>
      <c r="NDF170" s="1360"/>
      <c r="NDG170" s="1360"/>
      <c r="NDH170" s="1362"/>
      <c r="NDI170" s="955"/>
      <c r="NDJ170" s="963"/>
      <c r="NDK170" s="2242"/>
      <c r="NDL170" s="1360"/>
      <c r="NDM170" s="1360"/>
      <c r="NDN170" s="1360"/>
      <c r="NDO170" s="1360"/>
      <c r="NDP170" s="1362"/>
      <c r="NDQ170" s="955"/>
      <c r="NDR170" s="963"/>
      <c r="NDS170" s="2242"/>
      <c r="NDT170" s="1360"/>
      <c r="NDU170" s="1360"/>
      <c r="NDV170" s="1360"/>
      <c r="NDW170" s="1360"/>
      <c r="NDX170" s="1362"/>
      <c r="NDY170" s="955"/>
      <c r="NDZ170" s="963"/>
      <c r="NEA170" s="2242"/>
      <c r="NEB170" s="1360"/>
      <c r="NEC170" s="1360"/>
      <c r="NED170" s="1360"/>
      <c r="NEE170" s="1360"/>
      <c r="NEF170" s="1362"/>
      <c r="NEG170" s="955"/>
      <c r="NEH170" s="963"/>
      <c r="NEI170" s="2242"/>
      <c r="NEJ170" s="1360"/>
      <c r="NEK170" s="1360"/>
      <c r="NEL170" s="1360"/>
      <c r="NEM170" s="1360"/>
      <c r="NEN170" s="1362"/>
      <c r="NEO170" s="955"/>
      <c r="NEP170" s="963"/>
      <c r="NEQ170" s="2242"/>
      <c r="NER170" s="1360"/>
      <c r="NES170" s="1360"/>
      <c r="NET170" s="1360"/>
      <c r="NEU170" s="1360"/>
      <c r="NEV170" s="1362"/>
      <c r="NEW170" s="955"/>
      <c r="NEX170" s="963"/>
      <c r="NEY170" s="2242"/>
      <c r="NEZ170" s="1360"/>
      <c r="NFA170" s="1360"/>
      <c r="NFB170" s="1360"/>
      <c r="NFC170" s="1360"/>
      <c r="NFD170" s="1362"/>
      <c r="NFE170" s="955"/>
      <c r="NFF170" s="963"/>
      <c r="NFG170" s="2242"/>
      <c r="NFH170" s="1360"/>
      <c r="NFI170" s="1360"/>
      <c r="NFJ170" s="1360"/>
      <c r="NFK170" s="1360"/>
      <c r="NFL170" s="1362"/>
      <c r="NFM170" s="955"/>
      <c r="NFN170" s="963"/>
      <c r="NFO170" s="2242"/>
      <c r="NFP170" s="1360"/>
      <c r="NFQ170" s="1360"/>
      <c r="NFR170" s="1360"/>
      <c r="NFS170" s="1360"/>
      <c r="NFT170" s="1362"/>
      <c r="NFU170" s="955"/>
      <c r="NFV170" s="963"/>
      <c r="NFW170" s="2242"/>
      <c r="NFX170" s="1360"/>
      <c r="NFY170" s="1360"/>
      <c r="NFZ170" s="1360"/>
      <c r="NGA170" s="1360"/>
      <c r="NGB170" s="1362"/>
      <c r="NGC170" s="955"/>
      <c r="NGD170" s="963"/>
      <c r="NGE170" s="2242"/>
      <c r="NGF170" s="1360"/>
      <c r="NGG170" s="1360"/>
      <c r="NGH170" s="1360"/>
      <c r="NGI170" s="1360"/>
      <c r="NGJ170" s="1362"/>
      <c r="NGK170" s="955"/>
      <c r="NGL170" s="963"/>
      <c r="NGM170" s="2242"/>
      <c r="NGN170" s="1360"/>
      <c r="NGO170" s="1360"/>
      <c r="NGP170" s="1360"/>
      <c r="NGQ170" s="1360"/>
      <c r="NGR170" s="1362"/>
      <c r="NGS170" s="955"/>
      <c r="NGT170" s="963"/>
      <c r="NGU170" s="2242"/>
      <c r="NGV170" s="1360"/>
      <c r="NGW170" s="1360"/>
      <c r="NGX170" s="1360"/>
      <c r="NGY170" s="1360"/>
      <c r="NGZ170" s="1362"/>
      <c r="NHA170" s="955"/>
      <c r="NHB170" s="963"/>
      <c r="NHC170" s="2242"/>
      <c r="NHD170" s="1360"/>
      <c r="NHE170" s="1360"/>
      <c r="NHF170" s="1360"/>
      <c r="NHG170" s="1360"/>
      <c r="NHH170" s="1362"/>
      <c r="NHI170" s="955"/>
      <c r="NHJ170" s="963"/>
      <c r="NHK170" s="2242"/>
      <c r="NHL170" s="1360"/>
      <c r="NHM170" s="1360"/>
      <c r="NHN170" s="1360"/>
      <c r="NHO170" s="1360"/>
      <c r="NHP170" s="1362"/>
      <c r="NHQ170" s="955"/>
      <c r="NHR170" s="963"/>
      <c r="NHS170" s="2242"/>
      <c r="NHT170" s="1360"/>
      <c r="NHU170" s="1360"/>
      <c r="NHV170" s="1360"/>
      <c r="NHW170" s="1360"/>
      <c r="NHX170" s="1362"/>
      <c r="NHY170" s="955"/>
      <c r="NHZ170" s="963"/>
      <c r="NIA170" s="2242"/>
      <c r="NIB170" s="1360"/>
      <c r="NIC170" s="1360"/>
      <c r="NID170" s="1360"/>
      <c r="NIE170" s="1360"/>
      <c r="NIF170" s="1362"/>
      <c r="NIG170" s="955"/>
      <c r="NIH170" s="963"/>
      <c r="NII170" s="2242"/>
      <c r="NIJ170" s="1360"/>
      <c r="NIK170" s="1360"/>
      <c r="NIL170" s="1360"/>
      <c r="NIM170" s="1360"/>
      <c r="NIN170" s="1362"/>
      <c r="NIO170" s="955"/>
      <c r="NIP170" s="963"/>
      <c r="NIQ170" s="2242"/>
      <c r="NIR170" s="1360"/>
      <c r="NIS170" s="1360"/>
      <c r="NIT170" s="1360"/>
      <c r="NIU170" s="1360"/>
      <c r="NIV170" s="1362"/>
      <c r="NIW170" s="955"/>
      <c r="NIX170" s="963"/>
      <c r="NIY170" s="2242"/>
      <c r="NIZ170" s="1360"/>
      <c r="NJA170" s="1360"/>
      <c r="NJB170" s="1360"/>
      <c r="NJC170" s="1360"/>
      <c r="NJD170" s="1362"/>
      <c r="NJE170" s="955"/>
      <c r="NJF170" s="963"/>
      <c r="NJG170" s="2242"/>
      <c r="NJH170" s="1360"/>
      <c r="NJI170" s="1360"/>
      <c r="NJJ170" s="1360"/>
      <c r="NJK170" s="1360"/>
      <c r="NJL170" s="1362"/>
      <c r="NJM170" s="955"/>
      <c r="NJN170" s="963"/>
      <c r="NJO170" s="2242"/>
      <c r="NJP170" s="1360"/>
      <c r="NJQ170" s="1360"/>
      <c r="NJR170" s="1360"/>
      <c r="NJS170" s="1360"/>
      <c r="NJT170" s="1362"/>
      <c r="NJU170" s="955"/>
      <c r="NJV170" s="963"/>
      <c r="NJW170" s="2242"/>
      <c r="NJX170" s="1360"/>
      <c r="NJY170" s="1360"/>
      <c r="NJZ170" s="1360"/>
      <c r="NKA170" s="1360"/>
      <c r="NKB170" s="1362"/>
      <c r="NKC170" s="955"/>
      <c r="NKD170" s="963"/>
      <c r="NKE170" s="2242"/>
      <c r="NKF170" s="1360"/>
      <c r="NKG170" s="1360"/>
      <c r="NKH170" s="1360"/>
      <c r="NKI170" s="1360"/>
      <c r="NKJ170" s="1362"/>
      <c r="NKK170" s="955"/>
      <c r="NKL170" s="963"/>
      <c r="NKM170" s="2242"/>
      <c r="NKN170" s="1360"/>
      <c r="NKO170" s="1360"/>
      <c r="NKP170" s="1360"/>
      <c r="NKQ170" s="1360"/>
      <c r="NKR170" s="1362"/>
      <c r="NKS170" s="955"/>
      <c r="NKT170" s="963"/>
      <c r="NKU170" s="2242"/>
      <c r="NKV170" s="1360"/>
      <c r="NKW170" s="1360"/>
      <c r="NKX170" s="1360"/>
      <c r="NKY170" s="1360"/>
      <c r="NKZ170" s="1362"/>
      <c r="NLA170" s="955"/>
      <c r="NLB170" s="963"/>
      <c r="NLC170" s="2242"/>
      <c r="NLD170" s="1360"/>
      <c r="NLE170" s="1360"/>
      <c r="NLF170" s="1360"/>
      <c r="NLG170" s="1360"/>
      <c r="NLH170" s="1362"/>
      <c r="NLI170" s="955"/>
      <c r="NLJ170" s="963"/>
      <c r="NLK170" s="2242"/>
      <c r="NLL170" s="1360"/>
      <c r="NLM170" s="1360"/>
      <c r="NLN170" s="1360"/>
      <c r="NLO170" s="1360"/>
      <c r="NLP170" s="1362"/>
      <c r="NLQ170" s="955"/>
      <c r="NLR170" s="963"/>
      <c r="NLS170" s="2242"/>
      <c r="NLT170" s="1360"/>
      <c r="NLU170" s="1360"/>
      <c r="NLV170" s="1360"/>
      <c r="NLW170" s="1360"/>
      <c r="NLX170" s="1362"/>
      <c r="NLY170" s="955"/>
      <c r="NLZ170" s="963"/>
      <c r="NMA170" s="2242"/>
      <c r="NMB170" s="1360"/>
      <c r="NMC170" s="1360"/>
      <c r="NMD170" s="1360"/>
      <c r="NME170" s="1360"/>
      <c r="NMF170" s="1362"/>
      <c r="NMG170" s="955"/>
      <c r="NMH170" s="963"/>
      <c r="NMI170" s="2242"/>
      <c r="NMJ170" s="1360"/>
      <c r="NMK170" s="1360"/>
      <c r="NML170" s="1360"/>
      <c r="NMM170" s="1360"/>
      <c r="NMN170" s="1362"/>
      <c r="NMO170" s="955"/>
      <c r="NMP170" s="963"/>
      <c r="NMQ170" s="2242"/>
      <c r="NMR170" s="1360"/>
      <c r="NMS170" s="1360"/>
      <c r="NMT170" s="1360"/>
      <c r="NMU170" s="1360"/>
      <c r="NMV170" s="1362"/>
      <c r="NMW170" s="955"/>
      <c r="NMX170" s="963"/>
      <c r="NMY170" s="2242"/>
      <c r="NMZ170" s="1360"/>
      <c r="NNA170" s="1360"/>
      <c r="NNB170" s="1360"/>
      <c r="NNC170" s="1360"/>
      <c r="NND170" s="1362"/>
      <c r="NNE170" s="955"/>
      <c r="NNF170" s="963"/>
      <c r="NNG170" s="2242"/>
      <c r="NNH170" s="1360"/>
      <c r="NNI170" s="1360"/>
      <c r="NNJ170" s="1360"/>
      <c r="NNK170" s="1360"/>
      <c r="NNL170" s="1362"/>
      <c r="NNM170" s="955"/>
      <c r="NNN170" s="963"/>
      <c r="NNO170" s="2242"/>
      <c r="NNP170" s="1360"/>
      <c r="NNQ170" s="1360"/>
      <c r="NNR170" s="1360"/>
      <c r="NNS170" s="1360"/>
      <c r="NNT170" s="1362"/>
      <c r="NNU170" s="955"/>
      <c r="NNV170" s="963"/>
      <c r="NNW170" s="2242"/>
      <c r="NNX170" s="1360"/>
      <c r="NNY170" s="1360"/>
      <c r="NNZ170" s="1360"/>
      <c r="NOA170" s="1360"/>
      <c r="NOB170" s="1362"/>
      <c r="NOC170" s="955"/>
      <c r="NOD170" s="963"/>
      <c r="NOE170" s="2242"/>
      <c r="NOF170" s="1360"/>
      <c r="NOG170" s="1360"/>
      <c r="NOH170" s="1360"/>
      <c r="NOI170" s="1360"/>
      <c r="NOJ170" s="1362"/>
      <c r="NOK170" s="955"/>
      <c r="NOL170" s="963"/>
      <c r="NOM170" s="2242"/>
      <c r="NON170" s="1360"/>
      <c r="NOO170" s="1360"/>
      <c r="NOP170" s="1360"/>
      <c r="NOQ170" s="1360"/>
      <c r="NOR170" s="1362"/>
      <c r="NOS170" s="955"/>
      <c r="NOT170" s="963"/>
      <c r="NOU170" s="2242"/>
      <c r="NOV170" s="1360"/>
      <c r="NOW170" s="1360"/>
      <c r="NOX170" s="1360"/>
      <c r="NOY170" s="1360"/>
      <c r="NOZ170" s="1362"/>
      <c r="NPA170" s="955"/>
      <c r="NPB170" s="963"/>
      <c r="NPC170" s="2242"/>
      <c r="NPD170" s="1360"/>
      <c r="NPE170" s="1360"/>
      <c r="NPF170" s="1360"/>
      <c r="NPG170" s="1360"/>
      <c r="NPH170" s="1362"/>
      <c r="NPI170" s="955"/>
      <c r="NPJ170" s="963"/>
      <c r="NPK170" s="2242"/>
      <c r="NPL170" s="1360"/>
      <c r="NPM170" s="1360"/>
      <c r="NPN170" s="1360"/>
      <c r="NPO170" s="1360"/>
      <c r="NPP170" s="1362"/>
      <c r="NPQ170" s="955"/>
      <c r="NPR170" s="963"/>
      <c r="NPS170" s="2242"/>
      <c r="NPT170" s="1360"/>
      <c r="NPU170" s="1360"/>
      <c r="NPV170" s="1360"/>
      <c r="NPW170" s="1360"/>
      <c r="NPX170" s="1362"/>
      <c r="NPY170" s="955"/>
      <c r="NPZ170" s="963"/>
      <c r="NQA170" s="2242"/>
      <c r="NQB170" s="1360"/>
      <c r="NQC170" s="1360"/>
      <c r="NQD170" s="1360"/>
      <c r="NQE170" s="1360"/>
      <c r="NQF170" s="1362"/>
      <c r="NQG170" s="955"/>
      <c r="NQH170" s="963"/>
      <c r="NQI170" s="2242"/>
      <c r="NQJ170" s="1360"/>
      <c r="NQK170" s="1360"/>
      <c r="NQL170" s="1360"/>
      <c r="NQM170" s="1360"/>
      <c r="NQN170" s="1362"/>
      <c r="NQO170" s="955"/>
      <c r="NQP170" s="963"/>
      <c r="NQQ170" s="2242"/>
      <c r="NQR170" s="1360"/>
      <c r="NQS170" s="1360"/>
      <c r="NQT170" s="1360"/>
      <c r="NQU170" s="1360"/>
      <c r="NQV170" s="1362"/>
      <c r="NQW170" s="955"/>
      <c r="NQX170" s="963"/>
      <c r="NQY170" s="2242"/>
      <c r="NQZ170" s="1360"/>
      <c r="NRA170" s="1360"/>
      <c r="NRB170" s="1360"/>
      <c r="NRC170" s="1360"/>
      <c r="NRD170" s="1362"/>
      <c r="NRE170" s="955"/>
      <c r="NRF170" s="963"/>
      <c r="NRG170" s="2242"/>
      <c r="NRH170" s="1360"/>
      <c r="NRI170" s="1360"/>
      <c r="NRJ170" s="1360"/>
      <c r="NRK170" s="1360"/>
      <c r="NRL170" s="1362"/>
      <c r="NRM170" s="955"/>
      <c r="NRN170" s="963"/>
      <c r="NRO170" s="2242"/>
      <c r="NRP170" s="1360"/>
      <c r="NRQ170" s="1360"/>
      <c r="NRR170" s="1360"/>
      <c r="NRS170" s="1360"/>
      <c r="NRT170" s="1362"/>
      <c r="NRU170" s="955"/>
      <c r="NRV170" s="963"/>
      <c r="NRW170" s="2242"/>
      <c r="NRX170" s="1360"/>
      <c r="NRY170" s="1360"/>
      <c r="NRZ170" s="1360"/>
      <c r="NSA170" s="1360"/>
      <c r="NSB170" s="1362"/>
      <c r="NSC170" s="955"/>
      <c r="NSD170" s="963"/>
      <c r="NSE170" s="2242"/>
      <c r="NSF170" s="1360"/>
      <c r="NSG170" s="1360"/>
      <c r="NSH170" s="1360"/>
      <c r="NSI170" s="1360"/>
      <c r="NSJ170" s="1362"/>
      <c r="NSK170" s="955"/>
      <c r="NSL170" s="963"/>
      <c r="NSM170" s="2242"/>
      <c r="NSN170" s="1360"/>
      <c r="NSO170" s="1360"/>
      <c r="NSP170" s="1360"/>
      <c r="NSQ170" s="1360"/>
      <c r="NSR170" s="1362"/>
      <c r="NSS170" s="955"/>
      <c r="NST170" s="963"/>
      <c r="NSU170" s="2242"/>
      <c r="NSV170" s="1360"/>
      <c r="NSW170" s="1360"/>
      <c r="NSX170" s="1360"/>
      <c r="NSY170" s="1360"/>
      <c r="NSZ170" s="1362"/>
      <c r="NTA170" s="955"/>
      <c r="NTB170" s="963"/>
      <c r="NTC170" s="2242"/>
      <c r="NTD170" s="1360"/>
      <c r="NTE170" s="1360"/>
      <c r="NTF170" s="1360"/>
      <c r="NTG170" s="1360"/>
      <c r="NTH170" s="1362"/>
      <c r="NTI170" s="955"/>
      <c r="NTJ170" s="963"/>
      <c r="NTK170" s="2242"/>
      <c r="NTL170" s="1360"/>
      <c r="NTM170" s="1360"/>
      <c r="NTN170" s="1360"/>
      <c r="NTO170" s="1360"/>
      <c r="NTP170" s="1362"/>
      <c r="NTQ170" s="955"/>
      <c r="NTR170" s="963"/>
      <c r="NTS170" s="2242"/>
      <c r="NTT170" s="1360"/>
      <c r="NTU170" s="1360"/>
      <c r="NTV170" s="1360"/>
      <c r="NTW170" s="1360"/>
      <c r="NTX170" s="1362"/>
      <c r="NTY170" s="955"/>
      <c r="NTZ170" s="963"/>
      <c r="NUA170" s="2242"/>
      <c r="NUB170" s="1360"/>
      <c r="NUC170" s="1360"/>
      <c r="NUD170" s="1360"/>
      <c r="NUE170" s="1360"/>
      <c r="NUF170" s="1362"/>
      <c r="NUG170" s="955"/>
      <c r="NUH170" s="963"/>
      <c r="NUI170" s="2242"/>
      <c r="NUJ170" s="1360"/>
      <c r="NUK170" s="1360"/>
      <c r="NUL170" s="1360"/>
      <c r="NUM170" s="1360"/>
      <c r="NUN170" s="1362"/>
      <c r="NUO170" s="955"/>
      <c r="NUP170" s="963"/>
      <c r="NUQ170" s="2242"/>
      <c r="NUR170" s="1360"/>
      <c r="NUS170" s="1360"/>
      <c r="NUT170" s="1360"/>
      <c r="NUU170" s="1360"/>
      <c r="NUV170" s="1362"/>
      <c r="NUW170" s="955"/>
      <c r="NUX170" s="963"/>
      <c r="NUY170" s="2242"/>
      <c r="NUZ170" s="1360"/>
      <c r="NVA170" s="1360"/>
      <c r="NVB170" s="1360"/>
      <c r="NVC170" s="1360"/>
      <c r="NVD170" s="1362"/>
      <c r="NVE170" s="955"/>
      <c r="NVF170" s="963"/>
      <c r="NVG170" s="2242"/>
      <c r="NVH170" s="1360"/>
      <c r="NVI170" s="1360"/>
      <c r="NVJ170" s="1360"/>
      <c r="NVK170" s="1360"/>
      <c r="NVL170" s="1362"/>
      <c r="NVM170" s="955"/>
      <c r="NVN170" s="963"/>
      <c r="NVO170" s="2242"/>
      <c r="NVP170" s="1360"/>
      <c r="NVQ170" s="1360"/>
      <c r="NVR170" s="1360"/>
      <c r="NVS170" s="1360"/>
      <c r="NVT170" s="1362"/>
      <c r="NVU170" s="955"/>
      <c r="NVV170" s="963"/>
      <c r="NVW170" s="2242"/>
      <c r="NVX170" s="1360"/>
      <c r="NVY170" s="1360"/>
      <c r="NVZ170" s="1360"/>
      <c r="NWA170" s="1360"/>
      <c r="NWB170" s="1362"/>
      <c r="NWC170" s="955"/>
      <c r="NWD170" s="963"/>
      <c r="NWE170" s="2242"/>
      <c r="NWF170" s="1360"/>
      <c r="NWG170" s="1360"/>
      <c r="NWH170" s="1360"/>
      <c r="NWI170" s="1360"/>
      <c r="NWJ170" s="1362"/>
      <c r="NWK170" s="955"/>
      <c r="NWL170" s="963"/>
      <c r="NWM170" s="2242"/>
      <c r="NWN170" s="1360"/>
      <c r="NWO170" s="1360"/>
      <c r="NWP170" s="1360"/>
      <c r="NWQ170" s="1360"/>
      <c r="NWR170" s="1362"/>
      <c r="NWS170" s="955"/>
      <c r="NWT170" s="963"/>
      <c r="NWU170" s="2242"/>
      <c r="NWV170" s="1360"/>
      <c r="NWW170" s="1360"/>
      <c r="NWX170" s="1360"/>
      <c r="NWY170" s="1360"/>
      <c r="NWZ170" s="1362"/>
      <c r="NXA170" s="955"/>
      <c r="NXB170" s="963"/>
      <c r="NXC170" s="2242"/>
      <c r="NXD170" s="1360"/>
      <c r="NXE170" s="1360"/>
      <c r="NXF170" s="1360"/>
      <c r="NXG170" s="1360"/>
      <c r="NXH170" s="1362"/>
      <c r="NXI170" s="955"/>
      <c r="NXJ170" s="963"/>
      <c r="NXK170" s="2242"/>
      <c r="NXL170" s="1360"/>
      <c r="NXM170" s="1360"/>
      <c r="NXN170" s="1360"/>
      <c r="NXO170" s="1360"/>
      <c r="NXP170" s="1362"/>
      <c r="NXQ170" s="955"/>
      <c r="NXR170" s="963"/>
      <c r="NXS170" s="2242"/>
      <c r="NXT170" s="1360"/>
      <c r="NXU170" s="1360"/>
      <c r="NXV170" s="1360"/>
      <c r="NXW170" s="1360"/>
      <c r="NXX170" s="1362"/>
      <c r="NXY170" s="955"/>
      <c r="NXZ170" s="963"/>
      <c r="NYA170" s="2242"/>
      <c r="NYB170" s="1360"/>
      <c r="NYC170" s="1360"/>
      <c r="NYD170" s="1360"/>
      <c r="NYE170" s="1360"/>
      <c r="NYF170" s="1362"/>
      <c r="NYG170" s="955"/>
      <c r="NYH170" s="963"/>
      <c r="NYI170" s="2242"/>
      <c r="NYJ170" s="1360"/>
      <c r="NYK170" s="1360"/>
      <c r="NYL170" s="1360"/>
      <c r="NYM170" s="1360"/>
      <c r="NYN170" s="1362"/>
      <c r="NYO170" s="955"/>
      <c r="NYP170" s="963"/>
      <c r="NYQ170" s="2242"/>
      <c r="NYR170" s="1360"/>
      <c r="NYS170" s="1360"/>
      <c r="NYT170" s="1360"/>
      <c r="NYU170" s="1360"/>
      <c r="NYV170" s="1362"/>
      <c r="NYW170" s="955"/>
      <c r="NYX170" s="963"/>
      <c r="NYY170" s="2242"/>
      <c r="NYZ170" s="1360"/>
      <c r="NZA170" s="1360"/>
      <c r="NZB170" s="1360"/>
      <c r="NZC170" s="1360"/>
      <c r="NZD170" s="1362"/>
      <c r="NZE170" s="955"/>
      <c r="NZF170" s="963"/>
      <c r="NZG170" s="2242"/>
      <c r="NZH170" s="1360"/>
      <c r="NZI170" s="1360"/>
      <c r="NZJ170" s="1360"/>
      <c r="NZK170" s="1360"/>
      <c r="NZL170" s="1362"/>
      <c r="NZM170" s="955"/>
      <c r="NZN170" s="963"/>
      <c r="NZO170" s="2242"/>
      <c r="NZP170" s="1360"/>
      <c r="NZQ170" s="1360"/>
      <c r="NZR170" s="1360"/>
      <c r="NZS170" s="1360"/>
      <c r="NZT170" s="1362"/>
      <c r="NZU170" s="955"/>
      <c r="NZV170" s="963"/>
      <c r="NZW170" s="2242"/>
      <c r="NZX170" s="1360"/>
      <c r="NZY170" s="1360"/>
      <c r="NZZ170" s="1360"/>
      <c r="OAA170" s="1360"/>
      <c r="OAB170" s="1362"/>
      <c r="OAC170" s="955"/>
      <c r="OAD170" s="963"/>
      <c r="OAE170" s="2242"/>
      <c r="OAF170" s="1360"/>
      <c r="OAG170" s="1360"/>
      <c r="OAH170" s="1360"/>
      <c r="OAI170" s="1360"/>
      <c r="OAJ170" s="1362"/>
      <c r="OAK170" s="955"/>
      <c r="OAL170" s="963"/>
      <c r="OAM170" s="2242"/>
      <c r="OAN170" s="1360"/>
      <c r="OAO170" s="1360"/>
      <c r="OAP170" s="1360"/>
      <c r="OAQ170" s="1360"/>
      <c r="OAR170" s="1362"/>
      <c r="OAS170" s="955"/>
      <c r="OAT170" s="963"/>
      <c r="OAU170" s="2242"/>
      <c r="OAV170" s="1360"/>
      <c r="OAW170" s="1360"/>
      <c r="OAX170" s="1360"/>
      <c r="OAY170" s="1360"/>
      <c r="OAZ170" s="1362"/>
      <c r="OBA170" s="955"/>
      <c r="OBB170" s="963"/>
      <c r="OBC170" s="2242"/>
      <c r="OBD170" s="1360"/>
      <c r="OBE170" s="1360"/>
      <c r="OBF170" s="1360"/>
      <c r="OBG170" s="1360"/>
      <c r="OBH170" s="1362"/>
      <c r="OBI170" s="955"/>
      <c r="OBJ170" s="963"/>
      <c r="OBK170" s="2242"/>
      <c r="OBL170" s="1360"/>
      <c r="OBM170" s="1360"/>
      <c r="OBN170" s="1360"/>
      <c r="OBO170" s="1360"/>
      <c r="OBP170" s="1362"/>
      <c r="OBQ170" s="955"/>
      <c r="OBR170" s="963"/>
      <c r="OBS170" s="2242"/>
      <c r="OBT170" s="1360"/>
      <c r="OBU170" s="1360"/>
      <c r="OBV170" s="1360"/>
      <c r="OBW170" s="1360"/>
      <c r="OBX170" s="1362"/>
      <c r="OBY170" s="955"/>
      <c r="OBZ170" s="963"/>
      <c r="OCA170" s="2242"/>
      <c r="OCB170" s="1360"/>
      <c r="OCC170" s="1360"/>
      <c r="OCD170" s="1360"/>
      <c r="OCE170" s="1360"/>
      <c r="OCF170" s="1362"/>
      <c r="OCG170" s="955"/>
      <c r="OCH170" s="963"/>
      <c r="OCI170" s="2242"/>
      <c r="OCJ170" s="1360"/>
      <c r="OCK170" s="1360"/>
      <c r="OCL170" s="1360"/>
      <c r="OCM170" s="1360"/>
      <c r="OCN170" s="1362"/>
      <c r="OCO170" s="955"/>
      <c r="OCP170" s="963"/>
      <c r="OCQ170" s="2242"/>
      <c r="OCR170" s="1360"/>
      <c r="OCS170" s="1360"/>
      <c r="OCT170" s="1360"/>
      <c r="OCU170" s="1360"/>
      <c r="OCV170" s="1362"/>
      <c r="OCW170" s="955"/>
      <c r="OCX170" s="963"/>
      <c r="OCY170" s="2242"/>
      <c r="OCZ170" s="1360"/>
      <c r="ODA170" s="1360"/>
      <c r="ODB170" s="1360"/>
      <c r="ODC170" s="1360"/>
      <c r="ODD170" s="1362"/>
      <c r="ODE170" s="955"/>
      <c r="ODF170" s="963"/>
      <c r="ODG170" s="2242"/>
      <c r="ODH170" s="1360"/>
      <c r="ODI170" s="1360"/>
      <c r="ODJ170" s="1360"/>
      <c r="ODK170" s="1360"/>
      <c r="ODL170" s="1362"/>
      <c r="ODM170" s="955"/>
      <c r="ODN170" s="963"/>
      <c r="ODO170" s="2242"/>
      <c r="ODP170" s="1360"/>
      <c r="ODQ170" s="1360"/>
      <c r="ODR170" s="1360"/>
      <c r="ODS170" s="1360"/>
      <c r="ODT170" s="1362"/>
      <c r="ODU170" s="955"/>
      <c r="ODV170" s="963"/>
      <c r="ODW170" s="2242"/>
      <c r="ODX170" s="1360"/>
      <c r="ODY170" s="1360"/>
      <c r="ODZ170" s="1360"/>
      <c r="OEA170" s="1360"/>
      <c r="OEB170" s="1362"/>
      <c r="OEC170" s="955"/>
      <c r="OED170" s="963"/>
      <c r="OEE170" s="2242"/>
      <c r="OEF170" s="1360"/>
      <c r="OEG170" s="1360"/>
      <c r="OEH170" s="1360"/>
      <c r="OEI170" s="1360"/>
      <c r="OEJ170" s="1362"/>
      <c r="OEK170" s="955"/>
      <c r="OEL170" s="963"/>
      <c r="OEM170" s="2242"/>
      <c r="OEN170" s="1360"/>
      <c r="OEO170" s="1360"/>
      <c r="OEP170" s="1360"/>
      <c r="OEQ170" s="1360"/>
      <c r="OER170" s="1362"/>
      <c r="OES170" s="955"/>
      <c r="OET170" s="963"/>
      <c r="OEU170" s="2242"/>
      <c r="OEV170" s="1360"/>
      <c r="OEW170" s="1360"/>
      <c r="OEX170" s="1360"/>
      <c r="OEY170" s="1360"/>
      <c r="OEZ170" s="1362"/>
      <c r="OFA170" s="955"/>
      <c r="OFB170" s="963"/>
      <c r="OFC170" s="2242"/>
      <c r="OFD170" s="1360"/>
      <c r="OFE170" s="1360"/>
      <c r="OFF170" s="1360"/>
      <c r="OFG170" s="1360"/>
      <c r="OFH170" s="1362"/>
      <c r="OFI170" s="955"/>
      <c r="OFJ170" s="963"/>
      <c r="OFK170" s="2242"/>
      <c r="OFL170" s="1360"/>
      <c r="OFM170" s="1360"/>
      <c r="OFN170" s="1360"/>
      <c r="OFO170" s="1360"/>
      <c r="OFP170" s="1362"/>
      <c r="OFQ170" s="955"/>
      <c r="OFR170" s="963"/>
      <c r="OFS170" s="2242"/>
      <c r="OFT170" s="1360"/>
      <c r="OFU170" s="1360"/>
      <c r="OFV170" s="1360"/>
      <c r="OFW170" s="1360"/>
      <c r="OFX170" s="1362"/>
      <c r="OFY170" s="955"/>
      <c r="OFZ170" s="963"/>
      <c r="OGA170" s="2242"/>
      <c r="OGB170" s="1360"/>
      <c r="OGC170" s="1360"/>
      <c r="OGD170" s="1360"/>
      <c r="OGE170" s="1360"/>
      <c r="OGF170" s="1362"/>
      <c r="OGG170" s="955"/>
      <c r="OGH170" s="963"/>
      <c r="OGI170" s="2242"/>
      <c r="OGJ170" s="1360"/>
      <c r="OGK170" s="1360"/>
      <c r="OGL170" s="1360"/>
      <c r="OGM170" s="1360"/>
      <c r="OGN170" s="1362"/>
      <c r="OGO170" s="955"/>
      <c r="OGP170" s="963"/>
      <c r="OGQ170" s="2242"/>
      <c r="OGR170" s="1360"/>
      <c r="OGS170" s="1360"/>
      <c r="OGT170" s="1360"/>
      <c r="OGU170" s="1360"/>
      <c r="OGV170" s="1362"/>
      <c r="OGW170" s="955"/>
      <c r="OGX170" s="963"/>
      <c r="OGY170" s="2242"/>
      <c r="OGZ170" s="1360"/>
      <c r="OHA170" s="1360"/>
      <c r="OHB170" s="1360"/>
      <c r="OHC170" s="1360"/>
      <c r="OHD170" s="1362"/>
      <c r="OHE170" s="955"/>
      <c r="OHF170" s="963"/>
      <c r="OHG170" s="2242"/>
      <c r="OHH170" s="1360"/>
      <c r="OHI170" s="1360"/>
      <c r="OHJ170" s="1360"/>
      <c r="OHK170" s="1360"/>
      <c r="OHL170" s="1362"/>
      <c r="OHM170" s="955"/>
      <c r="OHN170" s="963"/>
      <c r="OHO170" s="2242"/>
      <c r="OHP170" s="1360"/>
      <c r="OHQ170" s="1360"/>
      <c r="OHR170" s="1360"/>
      <c r="OHS170" s="1360"/>
      <c r="OHT170" s="1362"/>
      <c r="OHU170" s="955"/>
      <c r="OHV170" s="963"/>
      <c r="OHW170" s="2242"/>
      <c r="OHX170" s="1360"/>
      <c r="OHY170" s="1360"/>
      <c r="OHZ170" s="1360"/>
      <c r="OIA170" s="1360"/>
      <c r="OIB170" s="1362"/>
      <c r="OIC170" s="955"/>
      <c r="OID170" s="963"/>
      <c r="OIE170" s="2242"/>
      <c r="OIF170" s="1360"/>
      <c r="OIG170" s="1360"/>
      <c r="OIH170" s="1360"/>
      <c r="OII170" s="1360"/>
      <c r="OIJ170" s="1362"/>
      <c r="OIK170" s="955"/>
      <c r="OIL170" s="963"/>
      <c r="OIM170" s="2242"/>
      <c r="OIN170" s="1360"/>
      <c r="OIO170" s="1360"/>
      <c r="OIP170" s="1360"/>
      <c r="OIQ170" s="1360"/>
      <c r="OIR170" s="1362"/>
      <c r="OIS170" s="955"/>
      <c r="OIT170" s="963"/>
      <c r="OIU170" s="2242"/>
      <c r="OIV170" s="1360"/>
      <c r="OIW170" s="1360"/>
      <c r="OIX170" s="1360"/>
      <c r="OIY170" s="1360"/>
      <c r="OIZ170" s="1362"/>
      <c r="OJA170" s="955"/>
      <c r="OJB170" s="963"/>
      <c r="OJC170" s="2242"/>
      <c r="OJD170" s="1360"/>
      <c r="OJE170" s="1360"/>
      <c r="OJF170" s="1360"/>
      <c r="OJG170" s="1360"/>
      <c r="OJH170" s="1362"/>
      <c r="OJI170" s="955"/>
      <c r="OJJ170" s="963"/>
      <c r="OJK170" s="2242"/>
      <c r="OJL170" s="1360"/>
      <c r="OJM170" s="1360"/>
      <c r="OJN170" s="1360"/>
      <c r="OJO170" s="1360"/>
      <c r="OJP170" s="1362"/>
      <c r="OJQ170" s="955"/>
      <c r="OJR170" s="963"/>
      <c r="OJS170" s="2242"/>
      <c r="OJT170" s="1360"/>
      <c r="OJU170" s="1360"/>
      <c r="OJV170" s="1360"/>
      <c r="OJW170" s="1360"/>
      <c r="OJX170" s="1362"/>
      <c r="OJY170" s="955"/>
      <c r="OJZ170" s="963"/>
      <c r="OKA170" s="2242"/>
      <c r="OKB170" s="1360"/>
      <c r="OKC170" s="1360"/>
      <c r="OKD170" s="1360"/>
      <c r="OKE170" s="1360"/>
      <c r="OKF170" s="1362"/>
      <c r="OKG170" s="955"/>
      <c r="OKH170" s="963"/>
      <c r="OKI170" s="2242"/>
      <c r="OKJ170" s="1360"/>
      <c r="OKK170" s="1360"/>
      <c r="OKL170" s="1360"/>
      <c r="OKM170" s="1360"/>
      <c r="OKN170" s="1362"/>
      <c r="OKO170" s="955"/>
      <c r="OKP170" s="963"/>
      <c r="OKQ170" s="2242"/>
      <c r="OKR170" s="1360"/>
      <c r="OKS170" s="1360"/>
      <c r="OKT170" s="1360"/>
      <c r="OKU170" s="1360"/>
      <c r="OKV170" s="1362"/>
      <c r="OKW170" s="955"/>
      <c r="OKX170" s="963"/>
      <c r="OKY170" s="2242"/>
      <c r="OKZ170" s="1360"/>
      <c r="OLA170" s="1360"/>
      <c r="OLB170" s="1360"/>
      <c r="OLC170" s="1360"/>
      <c r="OLD170" s="1362"/>
      <c r="OLE170" s="955"/>
      <c r="OLF170" s="963"/>
      <c r="OLG170" s="2242"/>
      <c r="OLH170" s="1360"/>
      <c r="OLI170" s="1360"/>
      <c r="OLJ170" s="1360"/>
      <c r="OLK170" s="1360"/>
      <c r="OLL170" s="1362"/>
      <c r="OLM170" s="955"/>
      <c r="OLN170" s="963"/>
      <c r="OLO170" s="2242"/>
      <c r="OLP170" s="1360"/>
      <c r="OLQ170" s="1360"/>
      <c r="OLR170" s="1360"/>
      <c r="OLS170" s="1360"/>
      <c r="OLT170" s="1362"/>
      <c r="OLU170" s="955"/>
      <c r="OLV170" s="963"/>
      <c r="OLW170" s="2242"/>
      <c r="OLX170" s="1360"/>
      <c r="OLY170" s="1360"/>
      <c r="OLZ170" s="1360"/>
      <c r="OMA170" s="1360"/>
      <c r="OMB170" s="1362"/>
      <c r="OMC170" s="955"/>
      <c r="OMD170" s="963"/>
      <c r="OME170" s="2242"/>
      <c r="OMF170" s="1360"/>
      <c r="OMG170" s="1360"/>
      <c r="OMH170" s="1360"/>
      <c r="OMI170" s="1360"/>
      <c r="OMJ170" s="1362"/>
      <c r="OMK170" s="955"/>
      <c r="OML170" s="963"/>
      <c r="OMM170" s="2242"/>
      <c r="OMN170" s="1360"/>
      <c r="OMO170" s="1360"/>
      <c r="OMP170" s="1360"/>
      <c r="OMQ170" s="1360"/>
      <c r="OMR170" s="1362"/>
      <c r="OMS170" s="955"/>
      <c r="OMT170" s="963"/>
      <c r="OMU170" s="2242"/>
      <c r="OMV170" s="1360"/>
      <c r="OMW170" s="1360"/>
      <c r="OMX170" s="1360"/>
      <c r="OMY170" s="1360"/>
      <c r="OMZ170" s="1362"/>
      <c r="ONA170" s="955"/>
      <c r="ONB170" s="963"/>
      <c r="ONC170" s="2242"/>
      <c r="OND170" s="1360"/>
      <c r="ONE170" s="1360"/>
      <c r="ONF170" s="1360"/>
      <c r="ONG170" s="1360"/>
      <c r="ONH170" s="1362"/>
      <c r="ONI170" s="955"/>
      <c r="ONJ170" s="963"/>
      <c r="ONK170" s="2242"/>
      <c r="ONL170" s="1360"/>
      <c r="ONM170" s="1360"/>
      <c r="ONN170" s="1360"/>
      <c r="ONO170" s="1360"/>
      <c r="ONP170" s="1362"/>
      <c r="ONQ170" s="955"/>
      <c r="ONR170" s="963"/>
      <c r="ONS170" s="2242"/>
      <c r="ONT170" s="1360"/>
      <c r="ONU170" s="1360"/>
      <c r="ONV170" s="1360"/>
      <c r="ONW170" s="1360"/>
      <c r="ONX170" s="1362"/>
      <c r="ONY170" s="955"/>
      <c r="ONZ170" s="963"/>
      <c r="OOA170" s="2242"/>
      <c r="OOB170" s="1360"/>
      <c r="OOC170" s="1360"/>
      <c r="OOD170" s="1360"/>
      <c r="OOE170" s="1360"/>
      <c r="OOF170" s="1362"/>
      <c r="OOG170" s="955"/>
      <c r="OOH170" s="963"/>
      <c r="OOI170" s="2242"/>
      <c r="OOJ170" s="1360"/>
      <c r="OOK170" s="1360"/>
      <c r="OOL170" s="1360"/>
      <c r="OOM170" s="1360"/>
      <c r="OON170" s="1362"/>
      <c r="OOO170" s="955"/>
      <c r="OOP170" s="963"/>
      <c r="OOQ170" s="2242"/>
      <c r="OOR170" s="1360"/>
      <c r="OOS170" s="1360"/>
      <c r="OOT170" s="1360"/>
      <c r="OOU170" s="1360"/>
      <c r="OOV170" s="1362"/>
      <c r="OOW170" s="955"/>
      <c r="OOX170" s="963"/>
      <c r="OOY170" s="2242"/>
      <c r="OOZ170" s="1360"/>
      <c r="OPA170" s="1360"/>
      <c r="OPB170" s="1360"/>
      <c r="OPC170" s="1360"/>
      <c r="OPD170" s="1362"/>
      <c r="OPE170" s="955"/>
      <c r="OPF170" s="963"/>
      <c r="OPG170" s="2242"/>
      <c r="OPH170" s="1360"/>
      <c r="OPI170" s="1360"/>
      <c r="OPJ170" s="1360"/>
      <c r="OPK170" s="1360"/>
      <c r="OPL170" s="1362"/>
      <c r="OPM170" s="955"/>
      <c r="OPN170" s="963"/>
      <c r="OPO170" s="2242"/>
      <c r="OPP170" s="1360"/>
      <c r="OPQ170" s="1360"/>
      <c r="OPR170" s="1360"/>
      <c r="OPS170" s="1360"/>
      <c r="OPT170" s="1362"/>
      <c r="OPU170" s="955"/>
      <c r="OPV170" s="963"/>
      <c r="OPW170" s="2242"/>
      <c r="OPX170" s="1360"/>
      <c r="OPY170" s="1360"/>
      <c r="OPZ170" s="1360"/>
      <c r="OQA170" s="1360"/>
      <c r="OQB170" s="1362"/>
      <c r="OQC170" s="955"/>
      <c r="OQD170" s="963"/>
      <c r="OQE170" s="2242"/>
      <c r="OQF170" s="1360"/>
      <c r="OQG170" s="1360"/>
      <c r="OQH170" s="1360"/>
      <c r="OQI170" s="1360"/>
      <c r="OQJ170" s="1362"/>
      <c r="OQK170" s="955"/>
      <c r="OQL170" s="963"/>
      <c r="OQM170" s="2242"/>
      <c r="OQN170" s="1360"/>
      <c r="OQO170" s="1360"/>
      <c r="OQP170" s="1360"/>
      <c r="OQQ170" s="1360"/>
      <c r="OQR170" s="1362"/>
      <c r="OQS170" s="955"/>
      <c r="OQT170" s="963"/>
      <c r="OQU170" s="2242"/>
      <c r="OQV170" s="1360"/>
      <c r="OQW170" s="1360"/>
      <c r="OQX170" s="1360"/>
      <c r="OQY170" s="1360"/>
      <c r="OQZ170" s="1362"/>
      <c r="ORA170" s="955"/>
      <c r="ORB170" s="963"/>
      <c r="ORC170" s="2242"/>
      <c r="ORD170" s="1360"/>
      <c r="ORE170" s="1360"/>
      <c r="ORF170" s="1360"/>
      <c r="ORG170" s="1360"/>
      <c r="ORH170" s="1362"/>
      <c r="ORI170" s="955"/>
      <c r="ORJ170" s="963"/>
      <c r="ORK170" s="2242"/>
      <c r="ORL170" s="1360"/>
      <c r="ORM170" s="1360"/>
      <c r="ORN170" s="1360"/>
      <c r="ORO170" s="1360"/>
      <c r="ORP170" s="1362"/>
      <c r="ORQ170" s="955"/>
      <c r="ORR170" s="963"/>
      <c r="ORS170" s="2242"/>
      <c r="ORT170" s="1360"/>
      <c r="ORU170" s="1360"/>
      <c r="ORV170" s="1360"/>
      <c r="ORW170" s="1360"/>
      <c r="ORX170" s="1362"/>
      <c r="ORY170" s="955"/>
      <c r="ORZ170" s="963"/>
      <c r="OSA170" s="2242"/>
      <c r="OSB170" s="1360"/>
      <c r="OSC170" s="1360"/>
      <c r="OSD170" s="1360"/>
      <c r="OSE170" s="1360"/>
      <c r="OSF170" s="1362"/>
      <c r="OSG170" s="955"/>
      <c r="OSH170" s="963"/>
      <c r="OSI170" s="2242"/>
      <c r="OSJ170" s="1360"/>
      <c r="OSK170" s="1360"/>
      <c r="OSL170" s="1360"/>
      <c r="OSM170" s="1360"/>
      <c r="OSN170" s="1362"/>
      <c r="OSO170" s="955"/>
      <c r="OSP170" s="963"/>
      <c r="OSQ170" s="2242"/>
      <c r="OSR170" s="1360"/>
      <c r="OSS170" s="1360"/>
      <c r="OST170" s="1360"/>
      <c r="OSU170" s="1360"/>
      <c r="OSV170" s="1362"/>
      <c r="OSW170" s="955"/>
      <c r="OSX170" s="963"/>
      <c r="OSY170" s="2242"/>
      <c r="OSZ170" s="1360"/>
      <c r="OTA170" s="1360"/>
      <c r="OTB170" s="1360"/>
      <c r="OTC170" s="1360"/>
      <c r="OTD170" s="1362"/>
      <c r="OTE170" s="955"/>
      <c r="OTF170" s="963"/>
      <c r="OTG170" s="2242"/>
      <c r="OTH170" s="1360"/>
      <c r="OTI170" s="1360"/>
      <c r="OTJ170" s="1360"/>
      <c r="OTK170" s="1360"/>
      <c r="OTL170" s="1362"/>
      <c r="OTM170" s="955"/>
      <c r="OTN170" s="963"/>
      <c r="OTO170" s="2242"/>
      <c r="OTP170" s="1360"/>
      <c r="OTQ170" s="1360"/>
      <c r="OTR170" s="1360"/>
      <c r="OTS170" s="1360"/>
      <c r="OTT170" s="1362"/>
      <c r="OTU170" s="955"/>
      <c r="OTV170" s="963"/>
      <c r="OTW170" s="2242"/>
      <c r="OTX170" s="1360"/>
      <c r="OTY170" s="1360"/>
      <c r="OTZ170" s="1360"/>
      <c r="OUA170" s="1360"/>
      <c r="OUB170" s="1362"/>
      <c r="OUC170" s="955"/>
      <c r="OUD170" s="963"/>
      <c r="OUE170" s="2242"/>
      <c r="OUF170" s="1360"/>
      <c r="OUG170" s="1360"/>
      <c r="OUH170" s="1360"/>
      <c r="OUI170" s="1360"/>
      <c r="OUJ170" s="1362"/>
      <c r="OUK170" s="955"/>
      <c r="OUL170" s="963"/>
      <c r="OUM170" s="2242"/>
      <c r="OUN170" s="1360"/>
      <c r="OUO170" s="1360"/>
      <c r="OUP170" s="1360"/>
      <c r="OUQ170" s="1360"/>
      <c r="OUR170" s="1362"/>
      <c r="OUS170" s="955"/>
      <c r="OUT170" s="963"/>
      <c r="OUU170" s="2242"/>
      <c r="OUV170" s="1360"/>
      <c r="OUW170" s="1360"/>
      <c r="OUX170" s="1360"/>
      <c r="OUY170" s="1360"/>
      <c r="OUZ170" s="1362"/>
      <c r="OVA170" s="955"/>
      <c r="OVB170" s="963"/>
      <c r="OVC170" s="2242"/>
      <c r="OVD170" s="1360"/>
      <c r="OVE170" s="1360"/>
      <c r="OVF170" s="1360"/>
      <c r="OVG170" s="1360"/>
      <c r="OVH170" s="1362"/>
      <c r="OVI170" s="955"/>
      <c r="OVJ170" s="963"/>
      <c r="OVK170" s="2242"/>
      <c r="OVL170" s="1360"/>
      <c r="OVM170" s="1360"/>
      <c r="OVN170" s="1360"/>
      <c r="OVO170" s="1360"/>
      <c r="OVP170" s="1362"/>
      <c r="OVQ170" s="955"/>
      <c r="OVR170" s="963"/>
      <c r="OVS170" s="2242"/>
      <c r="OVT170" s="1360"/>
      <c r="OVU170" s="1360"/>
      <c r="OVV170" s="1360"/>
      <c r="OVW170" s="1360"/>
      <c r="OVX170" s="1362"/>
      <c r="OVY170" s="955"/>
      <c r="OVZ170" s="963"/>
      <c r="OWA170" s="2242"/>
      <c r="OWB170" s="1360"/>
      <c r="OWC170" s="1360"/>
      <c r="OWD170" s="1360"/>
      <c r="OWE170" s="1360"/>
      <c r="OWF170" s="1362"/>
      <c r="OWG170" s="955"/>
      <c r="OWH170" s="963"/>
      <c r="OWI170" s="2242"/>
      <c r="OWJ170" s="1360"/>
      <c r="OWK170" s="1360"/>
      <c r="OWL170" s="1360"/>
      <c r="OWM170" s="1360"/>
      <c r="OWN170" s="1362"/>
      <c r="OWO170" s="955"/>
      <c r="OWP170" s="963"/>
      <c r="OWQ170" s="2242"/>
      <c r="OWR170" s="1360"/>
      <c r="OWS170" s="1360"/>
      <c r="OWT170" s="1360"/>
      <c r="OWU170" s="1360"/>
      <c r="OWV170" s="1362"/>
      <c r="OWW170" s="955"/>
      <c r="OWX170" s="963"/>
      <c r="OWY170" s="2242"/>
      <c r="OWZ170" s="1360"/>
      <c r="OXA170" s="1360"/>
      <c r="OXB170" s="1360"/>
      <c r="OXC170" s="1360"/>
      <c r="OXD170" s="1362"/>
      <c r="OXE170" s="955"/>
      <c r="OXF170" s="963"/>
      <c r="OXG170" s="2242"/>
      <c r="OXH170" s="1360"/>
      <c r="OXI170" s="1360"/>
      <c r="OXJ170" s="1360"/>
      <c r="OXK170" s="1360"/>
      <c r="OXL170" s="1362"/>
      <c r="OXM170" s="955"/>
      <c r="OXN170" s="963"/>
      <c r="OXO170" s="2242"/>
      <c r="OXP170" s="1360"/>
      <c r="OXQ170" s="1360"/>
      <c r="OXR170" s="1360"/>
      <c r="OXS170" s="1360"/>
      <c r="OXT170" s="1362"/>
      <c r="OXU170" s="955"/>
      <c r="OXV170" s="963"/>
      <c r="OXW170" s="2242"/>
      <c r="OXX170" s="1360"/>
      <c r="OXY170" s="1360"/>
      <c r="OXZ170" s="1360"/>
      <c r="OYA170" s="1360"/>
      <c r="OYB170" s="1362"/>
      <c r="OYC170" s="955"/>
      <c r="OYD170" s="963"/>
      <c r="OYE170" s="2242"/>
      <c r="OYF170" s="1360"/>
      <c r="OYG170" s="1360"/>
      <c r="OYH170" s="1360"/>
      <c r="OYI170" s="1360"/>
      <c r="OYJ170" s="1362"/>
      <c r="OYK170" s="955"/>
      <c r="OYL170" s="963"/>
      <c r="OYM170" s="2242"/>
      <c r="OYN170" s="1360"/>
      <c r="OYO170" s="1360"/>
      <c r="OYP170" s="1360"/>
      <c r="OYQ170" s="1360"/>
      <c r="OYR170" s="1362"/>
      <c r="OYS170" s="955"/>
      <c r="OYT170" s="963"/>
      <c r="OYU170" s="2242"/>
      <c r="OYV170" s="1360"/>
      <c r="OYW170" s="1360"/>
      <c r="OYX170" s="1360"/>
      <c r="OYY170" s="1360"/>
      <c r="OYZ170" s="1362"/>
      <c r="OZA170" s="955"/>
      <c r="OZB170" s="963"/>
      <c r="OZC170" s="2242"/>
      <c r="OZD170" s="1360"/>
      <c r="OZE170" s="1360"/>
      <c r="OZF170" s="1360"/>
      <c r="OZG170" s="1360"/>
      <c r="OZH170" s="1362"/>
      <c r="OZI170" s="955"/>
      <c r="OZJ170" s="963"/>
      <c r="OZK170" s="2242"/>
      <c r="OZL170" s="1360"/>
      <c r="OZM170" s="1360"/>
      <c r="OZN170" s="1360"/>
      <c r="OZO170" s="1360"/>
      <c r="OZP170" s="1362"/>
      <c r="OZQ170" s="955"/>
      <c r="OZR170" s="963"/>
      <c r="OZS170" s="2242"/>
      <c r="OZT170" s="1360"/>
      <c r="OZU170" s="1360"/>
      <c r="OZV170" s="1360"/>
      <c r="OZW170" s="1360"/>
      <c r="OZX170" s="1362"/>
      <c r="OZY170" s="955"/>
      <c r="OZZ170" s="963"/>
      <c r="PAA170" s="2242"/>
      <c r="PAB170" s="1360"/>
      <c r="PAC170" s="1360"/>
      <c r="PAD170" s="1360"/>
      <c r="PAE170" s="1360"/>
      <c r="PAF170" s="1362"/>
      <c r="PAG170" s="955"/>
      <c r="PAH170" s="963"/>
      <c r="PAI170" s="2242"/>
      <c r="PAJ170" s="1360"/>
      <c r="PAK170" s="1360"/>
      <c r="PAL170" s="1360"/>
      <c r="PAM170" s="1360"/>
      <c r="PAN170" s="1362"/>
      <c r="PAO170" s="955"/>
      <c r="PAP170" s="963"/>
      <c r="PAQ170" s="2242"/>
      <c r="PAR170" s="1360"/>
      <c r="PAS170" s="1360"/>
      <c r="PAT170" s="1360"/>
      <c r="PAU170" s="1360"/>
      <c r="PAV170" s="1362"/>
      <c r="PAW170" s="955"/>
      <c r="PAX170" s="963"/>
      <c r="PAY170" s="2242"/>
      <c r="PAZ170" s="1360"/>
      <c r="PBA170" s="1360"/>
      <c r="PBB170" s="1360"/>
      <c r="PBC170" s="1360"/>
      <c r="PBD170" s="1362"/>
      <c r="PBE170" s="955"/>
      <c r="PBF170" s="963"/>
      <c r="PBG170" s="2242"/>
      <c r="PBH170" s="1360"/>
      <c r="PBI170" s="1360"/>
      <c r="PBJ170" s="1360"/>
      <c r="PBK170" s="1360"/>
      <c r="PBL170" s="1362"/>
      <c r="PBM170" s="955"/>
      <c r="PBN170" s="963"/>
      <c r="PBO170" s="2242"/>
      <c r="PBP170" s="1360"/>
      <c r="PBQ170" s="1360"/>
      <c r="PBR170" s="1360"/>
      <c r="PBS170" s="1360"/>
      <c r="PBT170" s="1362"/>
      <c r="PBU170" s="955"/>
      <c r="PBV170" s="963"/>
      <c r="PBW170" s="2242"/>
      <c r="PBX170" s="1360"/>
      <c r="PBY170" s="1360"/>
      <c r="PBZ170" s="1360"/>
      <c r="PCA170" s="1360"/>
      <c r="PCB170" s="1362"/>
      <c r="PCC170" s="955"/>
      <c r="PCD170" s="963"/>
      <c r="PCE170" s="2242"/>
      <c r="PCF170" s="1360"/>
      <c r="PCG170" s="1360"/>
      <c r="PCH170" s="1360"/>
      <c r="PCI170" s="1360"/>
      <c r="PCJ170" s="1362"/>
      <c r="PCK170" s="955"/>
      <c r="PCL170" s="963"/>
      <c r="PCM170" s="2242"/>
      <c r="PCN170" s="1360"/>
      <c r="PCO170" s="1360"/>
      <c r="PCP170" s="1360"/>
      <c r="PCQ170" s="1360"/>
      <c r="PCR170" s="1362"/>
      <c r="PCS170" s="955"/>
      <c r="PCT170" s="963"/>
      <c r="PCU170" s="2242"/>
      <c r="PCV170" s="1360"/>
      <c r="PCW170" s="1360"/>
      <c r="PCX170" s="1360"/>
      <c r="PCY170" s="1360"/>
      <c r="PCZ170" s="1362"/>
      <c r="PDA170" s="955"/>
      <c r="PDB170" s="963"/>
      <c r="PDC170" s="2242"/>
      <c r="PDD170" s="1360"/>
      <c r="PDE170" s="1360"/>
      <c r="PDF170" s="1360"/>
      <c r="PDG170" s="1360"/>
      <c r="PDH170" s="1362"/>
      <c r="PDI170" s="955"/>
      <c r="PDJ170" s="963"/>
      <c r="PDK170" s="2242"/>
      <c r="PDL170" s="1360"/>
      <c r="PDM170" s="1360"/>
      <c r="PDN170" s="1360"/>
      <c r="PDO170" s="1360"/>
      <c r="PDP170" s="1362"/>
      <c r="PDQ170" s="955"/>
      <c r="PDR170" s="963"/>
      <c r="PDS170" s="2242"/>
      <c r="PDT170" s="1360"/>
      <c r="PDU170" s="1360"/>
      <c r="PDV170" s="1360"/>
      <c r="PDW170" s="1360"/>
      <c r="PDX170" s="1362"/>
      <c r="PDY170" s="955"/>
      <c r="PDZ170" s="963"/>
      <c r="PEA170" s="2242"/>
      <c r="PEB170" s="1360"/>
      <c r="PEC170" s="1360"/>
      <c r="PED170" s="1360"/>
      <c r="PEE170" s="1360"/>
      <c r="PEF170" s="1362"/>
      <c r="PEG170" s="955"/>
      <c r="PEH170" s="963"/>
      <c r="PEI170" s="2242"/>
      <c r="PEJ170" s="1360"/>
      <c r="PEK170" s="1360"/>
      <c r="PEL170" s="1360"/>
      <c r="PEM170" s="1360"/>
      <c r="PEN170" s="1362"/>
      <c r="PEO170" s="955"/>
      <c r="PEP170" s="963"/>
      <c r="PEQ170" s="2242"/>
      <c r="PER170" s="1360"/>
      <c r="PES170" s="1360"/>
      <c r="PET170" s="1360"/>
      <c r="PEU170" s="1360"/>
      <c r="PEV170" s="1362"/>
      <c r="PEW170" s="955"/>
      <c r="PEX170" s="963"/>
      <c r="PEY170" s="2242"/>
      <c r="PEZ170" s="1360"/>
      <c r="PFA170" s="1360"/>
      <c r="PFB170" s="1360"/>
      <c r="PFC170" s="1360"/>
      <c r="PFD170" s="1362"/>
      <c r="PFE170" s="955"/>
      <c r="PFF170" s="963"/>
      <c r="PFG170" s="2242"/>
      <c r="PFH170" s="1360"/>
      <c r="PFI170" s="1360"/>
      <c r="PFJ170" s="1360"/>
      <c r="PFK170" s="1360"/>
      <c r="PFL170" s="1362"/>
      <c r="PFM170" s="955"/>
      <c r="PFN170" s="963"/>
      <c r="PFO170" s="2242"/>
      <c r="PFP170" s="1360"/>
      <c r="PFQ170" s="1360"/>
      <c r="PFR170" s="1360"/>
      <c r="PFS170" s="1360"/>
      <c r="PFT170" s="1362"/>
      <c r="PFU170" s="955"/>
      <c r="PFV170" s="963"/>
      <c r="PFW170" s="2242"/>
      <c r="PFX170" s="1360"/>
      <c r="PFY170" s="1360"/>
      <c r="PFZ170" s="1360"/>
      <c r="PGA170" s="1360"/>
      <c r="PGB170" s="1362"/>
      <c r="PGC170" s="955"/>
      <c r="PGD170" s="963"/>
      <c r="PGE170" s="2242"/>
      <c r="PGF170" s="1360"/>
      <c r="PGG170" s="1360"/>
      <c r="PGH170" s="1360"/>
      <c r="PGI170" s="1360"/>
      <c r="PGJ170" s="1362"/>
      <c r="PGK170" s="955"/>
      <c r="PGL170" s="963"/>
      <c r="PGM170" s="2242"/>
      <c r="PGN170" s="1360"/>
      <c r="PGO170" s="1360"/>
      <c r="PGP170" s="1360"/>
      <c r="PGQ170" s="1360"/>
      <c r="PGR170" s="1362"/>
      <c r="PGS170" s="955"/>
      <c r="PGT170" s="963"/>
      <c r="PGU170" s="2242"/>
      <c r="PGV170" s="1360"/>
      <c r="PGW170" s="1360"/>
      <c r="PGX170" s="1360"/>
      <c r="PGY170" s="1360"/>
      <c r="PGZ170" s="1362"/>
      <c r="PHA170" s="955"/>
      <c r="PHB170" s="963"/>
      <c r="PHC170" s="2242"/>
      <c r="PHD170" s="1360"/>
      <c r="PHE170" s="1360"/>
      <c r="PHF170" s="1360"/>
      <c r="PHG170" s="1360"/>
      <c r="PHH170" s="1362"/>
      <c r="PHI170" s="955"/>
      <c r="PHJ170" s="963"/>
      <c r="PHK170" s="2242"/>
      <c r="PHL170" s="1360"/>
      <c r="PHM170" s="1360"/>
      <c r="PHN170" s="1360"/>
      <c r="PHO170" s="1360"/>
      <c r="PHP170" s="1362"/>
      <c r="PHQ170" s="955"/>
      <c r="PHR170" s="963"/>
      <c r="PHS170" s="2242"/>
      <c r="PHT170" s="1360"/>
      <c r="PHU170" s="1360"/>
      <c r="PHV170" s="1360"/>
      <c r="PHW170" s="1360"/>
      <c r="PHX170" s="1362"/>
      <c r="PHY170" s="955"/>
      <c r="PHZ170" s="963"/>
      <c r="PIA170" s="2242"/>
      <c r="PIB170" s="1360"/>
      <c r="PIC170" s="1360"/>
      <c r="PID170" s="1360"/>
      <c r="PIE170" s="1360"/>
      <c r="PIF170" s="1362"/>
      <c r="PIG170" s="955"/>
      <c r="PIH170" s="963"/>
      <c r="PII170" s="2242"/>
      <c r="PIJ170" s="1360"/>
      <c r="PIK170" s="1360"/>
      <c r="PIL170" s="1360"/>
      <c r="PIM170" s="1360"/>
      <c r="PIN170" s="1362"/>
      <c r="PIO170" s="955"/>
      <c r="PIP170" s="963"/>
      <c r="PIQ170" s="2242"/>
      <c r="PIR170" s="1360"/>
      <c r="PIS170" s="1360"/>
      <c r="PIT170" s="1360"/>
      <c r="PIU170" s="1360"/>
      <c r="PIV170" s="1362"/>
      <c r="PIW170" s="955"/>
      <c r="PIX170" s="963"/>
      <c r="PIY170" s="2242"/>
      <c r="PIZ170" s="1360"/>
      <c r="PJA170" s="1360"/>
      <c r="PJB170" s="1360"/>
      <c r="PJC170" s="1360"/>
      <c r="PJD170" s="1362"/>
      <c r="PJE170" s="955"/>
      <c r="PJF170" s="963"/>
      <c r="PJG170" s="2242"/>
      <c r="PJH170" s="1360"/>
      <c r="PJI170" s="1360"/>
      <c r="PJJ170" s="1360"/>
      <c r="PJK170" s="1360"/>
      <c r="PJL170" s="1362"/>
      <c r="PJM170" s="955"/>
      <c r="PJN170" s="963"/>
      <c r="PJO170" s="2242"/>
      <c r="PJP170" s="1360"/>
      <c r="PJQ170" s="1360"/>
      <c r="PJR170" s="1360"/>
      <c r="PJS170" s="1360"/>
      <c r="PJT170" s="1362"/>
      <c r="PJU170" s="955"/>
      <c r="PJV170" s="963"/>
      <c r="PJW170" s="2242"/>
      <c r="PJX170" s="1360"/>
      <c r="PJY170" s="1360"/>
      <c r="PJZ170" s="1360"/>
      <c r="PKA170" s="1360"/>
      <c r="PKB170" s="1362"/>
      <c r="PKC170" s="955"/>
      <c r="PKD170" s="963"/>
      <c r="PKE170" s="2242"/>
      <c r="PKF170" s="1360"/>
      <c r="PKG170" s="1360"/>
      <c r="PKH170" s="1360"/>
      <c r="PKI170" s="1360"/>
      <c r="PKJ170" s="1362"/>
      <c r="PKK170" s="955"/>
      <c r="PKL170" s="963"/>
      <c r="PKM170" s="2242"/>
      <c r="PKN170" s="1360"/>
      <c r="PKO170" s="1360"/>
      <c r="PKP170" s="1360"/>
      <c r="PKQ170" s="1360"/>
      <c r="PKR170" s="1362"/>
      <c r="PKS170" s="955"/>
      <c r="PKT170" s="963"/>
      <c r="PKU170" s="2242"/>
      <c r="PKV170" s="1360"/>
      <c r="PKW170" s="1360"/>
      <c r="PKX170" s="1360"/>
      <c r="PKY170" s="1360"/>
      <c r="PKZ170" s="1362"/>
      <c r="PLA170" s="955"/>
      <c r="PLB170" s="963"/>
      <c r="PLC170" s="2242"/>
      <c r="PLD170" s="1360"/>
      <c r="PLE170" s="1360"/>
      <c r="PLF170" s="1360"/>
      <c r="PLG170" s="1360"/>
      <c r="PLH170" s="1362"/>
      <c r="PLI170" s="955"/>
      <c r="PLJ170" s="963"/>
      <c r="PLK170" s="2242"/>
      <c r="PLL170" s="1360"/>
      <c r="PLM170" s="1360"/>
      <c r="PLN170" s="1360"/>
      <c r="PLO170" s="1360"/>
      <c r="PLP170" s="1362"/>
      <c r="PLQ170" s="955"/>
      <c r="PLR170" s="963"/>
      <c r="PLS170" s="2242"/>
      <c r="PLT170" s="1360"/>
      <c r="PLU170" s="1360"/>
      <c r="PLV170" s="1360"/>
      <c r="PLW170" s="1360"/>
      <c r="PLX170" s="1362"/>
      <c r="PLY170" s="955"/>
      <c r="PLZ170" s="963"/>
      <c r="PMA170" s="2242"/>
      <c r="PMB170" s="1360"/>
      <c r="PMC170" s="1360"/>
      <c r="PMD170" s="1360"/>
      <c r="PME170" s="1360"/>
      <c r="PMF170" s="1362"/>
      <c r="PMG170" s="955"/>
      <c r="PMH170" s="963"/>
      <c r="PMI170" s="2242"/>
      <c r="PMJ170" s="1360"/>
      <c r="PMK170" s="1360"/>
      <c r="PML170" s="1360"/>
      <c r="PMM170" s="1360"/>
      <c r="PMN170" s="1362"/>
      <c r="PMO170" s="955"/>
      <c r="PMP170" s="963"/>
      <c r="PMQ170" s="2242"/>
      <c r="PMR170" s="1360"/>
      <c r="PMS170" s="1360"/>
      <c r="PMT170" s="1360"/>
      <c r="PMU170" s="1360"/>
      <c r="PMV170" s="1362"/>
      <c r="PMW170" s="955"/>
      <c r="PMX170" s="963"/>
      <c r="PMY170" s="2242"/>
      <c r="PMZ170" s="1360"/>
      <c r="PNA170" s="1360"/>
      <c r="PNB170" s="1360"/>
      <c r="PNC170" s="1360"/>
      <c r="PND170" s="1362"/>
      <c r="PNE170" s="955"/>
      <c r="PNF170" s="963"/>
      <c r="PNG170" s="2242"/>
      <c r="PNH170" s="1360"/>
      <c r="PNI170" s="1360"/>
      <c r="PNJ170" s="1360"/>
      <c r="PNK170" s="1360"/>
      <c r="PNL170" s="1362"/>
      <c r="PNM170" s="955"/>
      <c r="PNN170" s="963"/>
      <c r="PNO170" s="2242"/>
      <c r="PNP170" s="1360"/>
      <c r="PNQ170" s="1360"/>
      <c r="PNR170" s="1360"/>
      <c r="PNS170" s="1360"/>
      <c r="PNT170" s="1362"/>
      <c r="PNU170" s="955"/>
      <c r="PNV170" s="963"/>
      <c r="PNW170" s="2242"/>
      <c r="PNX170" s="1360"/>
      <c r="PNY170" s="1360"/>
      <c r="PNZ170" s="1360"/>
      <c r="POA170" s="1360"/>
      <c r="POB170" s="1362"/>
      <c r="POC170" s="955"/>
      <c r="POD170" s="963"/>
      <c r="POE170" s="2242"/>
      <c r="POF170" s="1360"/>
      <c r="POG170" s="1360"/>
      <c r="POH170" s="1360"/>
      <c r="POI170" s="1360"/>
      <c r="POJ170" s="1362"/>
      <c r="POK170" s="955"/>
      <c r="POL170" s="963"/>
      <c r="POM170" s="2242"/>
      <c r="PON170" s="1360"/>
      <c r="POO170" s="1360"/>
      <c r="POP170" s="1360"/>
      <c r="POQ170" s="1360"/>
      <c r="POR170" s="1362"/>
      <c r="POS170" s="955"/>
      <c r="POT170" s="963"/>
      <c r="POU170" s="2242"/>
      <c r="POV170" s="1360"/>
      <c r="POW170" s="1360"/>
      <c r="POX170" s="1360"/>
      <c r="POY170" s="1360"/>
      <c r="POZ170" s="1362"/>
      <c r="PPA170" s="955"/>
      <c r="PPB170" s="963"/>
      <c r="PPC170" s="2242"/>
      <c r="PPD170" s="1360"/>
      <c r="PPE170" s="1360"/>
      <c r="PPF170" s="1360"/>
      <c r="PPG170" s="1360"/>
      <c r="PPH170" s="1362"/>
      <c r="PPI170" s="955"/>
      <c r="PPJ170" s="963"/>
      <c r="PPK170" s="2242"/>
      <c r="PPL170" s="1360"/>
      <c r="PPM170" s="1360"/>
      <c r="PPN170" s="1360"/>
      <c r="PPO170" s="1360"/>
      <c r="PPP170" s="1362"/>
      <c r="PPQ170" s="955"/>
      <c r="PPR170" s="963"/>
      <c r="PPS170" s="2242"/>
      <c r="PPT170" s="1360"/>
      <c r="PPU170" s="1360"/>
      <c r="PPV170" s="1360"/>
      <c r="PPW170" s="1360"/>
      <c r="PPX170" s="1362"/>
      <c r="PPY170" s="955"/>
      <c r="PPZ170" s="963"/>
      <c r="PQA170" s="2242"/>
      <c r="PQB170" s="1360"/>
      <c r="PQC170" s="1360"/>
      <c r="PQD170" s="1360"/>
      <c r="PQE170" s="1360"/>
      <c r="PQF170" s="1362"/>
      <c r="PQG170" s="955"/>
      <c r="PQH170" s="963"/>
      <c r="PQI170" s="2242"/>
      <c r="PQJ170" s="1360"/>
      <c r="PQK170" s="1360"/>
      <c r="PQL170" s="1360"/>
      <c r="PQM170" s="1360"/>
      <c r="PQN170" s="1362"/>
      <c r="PQO170" s="955"/>
      <c r="PQP170" s="963"/>
      <c r="PQQ170" s="2242"/>
      <c r="PQR170" s="1360"/>
      <c r="PQS170" s="1360"/>
      <c r="PQT170" s="1360"/>
      <c r="PQU170" s="1360"/>
      <c r="PQV170" s="1362"/>
      <c r="PQW170" s="955"/>
      <c r="PQX170" s="963"/>
      <c r="PQY170" s="2242"/>
      <c r="PQZ170" s="1360"/>
      <c r="PRA170" s="1360"/>
      <c r="PRB170" s="1360"/>
      <c r="PRC170" s="1360"/>
      <c r="PRD170" s="1362"/>
      <c r="PRE170" s="955"/>
      <c r="PRF170" s="963"/>
      <c r="PRG170" s="2242"/>
      <c r="PRH170" s="1360"/>
      <c r="PRI170" s="1360"/>
      <c r="PRJ170" s="1360"/>
      <c r="PRK170" s="1360"/>
      <c r="PRL170" s="1362"/>
      <c r="PRM170" s="955"/>
      <c r="PRN170" s="963"/>
      <c r="PRO170" s="2242"/>
      <c r="PRP170" s="1360"/>
      <c r="PRQ170" s="1360"/>
      <c r="PRR170" s="1360"/>
      <c r="PRS170" s="1360"/>
      <c r="PRT170" s="1362"/>
      <c r="PRU170" s="955"/>
      <c r="PRV170" s="963"/>
      <c r="PRW170" s="2242"/>
      <c r="PRX170" s="1360"/>
      <c r="PRY170" s="1360"/>
      <c r="PRZ170" s="1360"/>
      <c r="PSA170" s="1360"/>
      <c r="PSB170" s="1362"/>
      <c r="PSC170" s="955"/>
      <c r="PSD170" s="963"/>
      <c r="PSE170" s="2242"/>
      <c r="PSF170" s="1360"/>
      <c r="PSG170" s="1360"/>
      <c r="PSH170" s="1360"/>
      <c r="PSI170" s="1360"/>
      <c r="PSJ170" s="1362"/>
      <c r="PSK170" s="955"/>
      <c r="PSL170" s="963"/>
      <c r="PSM170" s="2242"/>
      <c r="PSN170" s="1360"/>
      <c r="PSO170" s="1360"/>
      <c r="PSP170" s="1360"/>
      <c r="PSQ170" s="1360"/>
      <c r="PSR170" s="1362"/>
      <c r="PSS170" s="955"/>
      <c r="PST170" s="963"/>
      <c r="PSU170" s="2242"/>
      <c r="PSV170" s="1360"/>
      <c r="PSW170" s="1360"/>
      <c r="PSX170" s="1360"/>
      <c r="PSY170" s="1360"/>
      <c r="PSZ170" s="1362"/>
      <c r="PTA170" s="955"/>
      <c r="PTB170" s="963"/>
      <c r="PTC170" s="2242"/>
      <c r="PTD170" s="1360"/>
      <c r="PTE170" s="1360"/>
      <c r="PTF170" s="1360"/>
      <c r="PTG170" s="1360"/>
      <c r="PTH170" s="1362"/>
      <c r="PTI170" s="955"/>
      <c r="PTJ170" s="963"/>
      <c r="PTK170" s="2242"/>
      <c r="PTL170" s="1360"/>
      <c r="PTM170" s="1360"/>
      <c r="PTN170" s="1360"/>
      <c r="PTO170" s="1360"/>
      <c r="PTP170" s="1362"/>
      <c r="PTQ170" s="955"/>
      <c r="PTR170" s="963"/>
      <c r="PTS170" s="2242"/>
      <c r="PTT170" s="1360"/>
      <c r="PTU170" s="1360"/>
      <c r="PTV170" s="1360"/>
      <c r="PTW170" s="1360"/>
      <c r="PTX170" s="1362"/>
      <c r="PTY170" s="955"/>
      <c r="PTZ170" s="963"/>
      <c r="PUA170" s="2242"/>
      <c r="PUB170" s="1360"/>
      <c r="PUC170" s="1360"/>
      <c r="PUD170" s="1360"/>
      <c r="PUE170" s="1360"/>
      <c r="PUF170" s="1362"/>
      <c r="PUG170" s="955"/>
      <c r="PUH170" s="963"/>
      <c r="PUI170" s="2242"/>
      <c r="PUJ170" s="1360"/>
      <c r="PUK170" s="1360"/>
      <c r="PUL170" s="1360"/>
      <c r="PUM170" s="1360"/>
      <c r="PUN170" s="1362"/>
      <c r="PUO170" s="955"/>
      <c r="PUP170" s="963"/>
      <c r="PUQ170" s="2242"/>
      <c r="PUR170" s="1360"/>
      <c r="PUS170" s="1360"/>
      <c r="PUT170" s="1360"/>
      <c r="PUU170" s="1360"/>
      <c r="PUV170" s="1362"/>
      <c r="PUW170" s="955"/>
      <c r="PUX170" s="963"/>
      <c r="PUY170" s="2242"/>
      <c r="PUZ170" s="1360"/>
      <c r="PVA170" s="1360"/>
      <c r="PVB170" s="1360"/>
      <c r="PVC170" s="1360"/>
      <c r="PVD170" s="1362"/>
      <c r="PVE170" s="955"/>
      <c r="PVF170" s="963"/>
      <c r="PVG170" s="2242"/>
      <c r="PVH170" s="1360"/>
      <c r="PVI170" s="1360"/>
      <c r="PVJ170" s="1360"/>
      <c r="PVK170" s="1360"/>
      <c r="PVL170" s="1362"/>
      <c r="PVM170" s="955"/>
      <c r="PVN170" s="963"/>
      <c r="PVO170" s="2242"/>
      <c r="PVP170" s="1360"/>
      <c r="PVQ170" s="1360"/>
      <c r="PVR170" s="1360"/>
      <c r="PVS170" s="1360"/>
      <c r="PVT170" s="1362"/>
      <c r="PVU170" s="955"/>
      <c r="PVV170" s="963"/>
      <c r="PVW170" s="2242"/>
      <c r="PVX170" s="1360"/>
      <c r="PVY170" s="1360"/>
      <c r="PVZ170" s="1360"/>
      <c r="PWA170" s="1360"/>
      <c r="PWB170" s="1362"/>
      <c r="PWC170" s="955"/>
      <c r="PWD170" s="963"/>
      <c r="PWE170" s="2242"/>
      <c r="PWF170" s="1360"/>
      <c r="PWG170" s="1360"/>
      <c r="PWH170" s="1360"/>
      <c r="PWI170" s="1360"/>
      <c r="PWJ170" s="1362"/>
      <c r="PWK170" s="955"/>
      <c r="PWL170" s="963"/>
      <c r="PWM170" s="2242"/>
      <c r="PWN170" s="1360"/>
      <c r="PWO170" s="1360"/>
      <c r="PWP170" s="1360"/>
      <c r="PWQ170" s="1360"/>
      <c r="PWR170" s="1362"/>
      <c r="PWS170" s="955"/>
      <c r="PWT170" s="963"/>
      <c r="PWU170" s="2242"/>
      <c r="PWV170" s="1360"/>
      <c r="PWW170" s="1360"/>
      <c r="PWX170" s="1360"/>
      <c r="PWY170" s="1360"/>
      <c r="PWZ170" s="1362"/>
      <c r="PXA170" s="955"/>
      <c r="PXB170" s="963"/>
      <c r="PXC170" s="2242"/>
      <c r="PXD170" s="1360"/>
      <c r="PXE170" s="1360"/>
      <c r="PXF170" s="1360"/>
      <c r="PXG170" s="1360"/>
      <c r="PXH170" s="1362"/>
      <c r="PXI170" s="955"/>
      <c r="PXJ170" s="963"/>
      <c r="PXK170" s="2242"/>
      <c r="PXL170" s="1360"/>
      <c r="PXM170" s="1360"/>
      <c r="PXN170" s="1360"/>
      <c r="PXO170" s="1360"/>
      <c r="PXP170" s="1362"/>
      <c r="PXQ170" s="955"/>
      <c r="PXR170" s="963"/>
      <c r="PXS170" s="2242"/>
      <c r="PXT170" s="1360"/>
      <c r="PXU170" s="1360"/>
      <c r="PXV170" s="1360"/>
      <c r="PXW170" s="1360"/>
      <c r="PXX170" s="1362"/>
      <c r="PXY170" s="955"/>
      <c r="PXZ170" s="963"/>
      <c r="PYA170" s="2242"/>
      <c r="PYB170" s="1360"/>
      <c r="PYC170" s="1360"/>
      <c r="PYD170" s="1360"/>
      <c r="PYE170" s="1360"/>
      <c r="PYF170" s="1362"/>
      <c r="PYG170" s="955"/>
      <c r="PYH170" s="963"/>
      <c r="PYI170" s="2242"/>
      <c r="PYJ170" s="1360"/>
      <c r="PYK170" s="1360"/>
      <c r="PYL170" s="1360"/>
      <c r="PYM170" s="1360"/>
      <c r="PYN170" s="1362"/>
      <c r="PYO170" s="955"/>
      <c r="PYP170" s="963"/>
      <c r="PYQ170" s="2242"/>
      <c r="PYR170" s="1360"/>
      <c r="PYS170" s="1360"/>
      <c r="PYT170" s="1360"/>
      <c r="PYU170" s="1360"/>
      <c r="PYV170" s="1362"/>
      <c r="PYW170" s="955"/>
      <c r="PYX170" s="963"/>
      <c r="PYY170" s="2242"/>
      <c r="PYZ170" s="1360"/>
      <c r="PZA170" s="1360"/>
      <c r="PZB170" s="1360"/>
      <c r="PZC170" s="1360"/>
      <c r="PZD170" s="1362"/>
      <c r="PZE170" s="955"/>
      <c r="PZF170" s="963"/>
      <c r="PZG170" s="2242"/>
      <c r="PZH170" s="1360"/>
      <c r="PZI170" s="1360"/>
      <c r="PZJ170" s="1360"/>
      <c r="PZK170" s="1360"/>
      <c r="PZL170" s="1362"/>
      <c r="PZM170" s="955"/>
      <c r="PZN170" s="963"/>
      <c r="PZO170" s="2242"/>
      <c r="PZP170" s="1360"/>
      <c r="PZQ170" s="1360"/>
      <c r="PZR170" s="1360"/>
      <c r="PZS170" s="1360"/>
      <c r="PZT170" s="1362"/>
      <c r="PZU170" s="955"/>
      <c r="PZV170" s="963"/>
      <c r="PZW170" s="2242"/>
      <c r="PZX170" s="1360"/>
      <c r="PZY170" s="1360"/>
      <c r="PZZ170" s="1360"/>
      <c r="QAA170" s="1360"/>
      <c r="QAB170" s="1362"/>
      <c r="QAC170" s="955"/>
      <c r="QAD170" s="963"/>
      <c r="QAE170" s="2242"/>
      <c r="QAF170" s="1360"/>
      <c r="QAG170" s="1360"/>
      <c r="QAH170" s="1360"/>
      <c r="QAI170" s="1360"/>
      <c r="QAJ170" s="1362"/>
      <c r="QAK170" s="955"/>
      <c r="QAL170" s="963"/>
      <c r="QAM170" s="2242"/>
      <c r="QAN170" s="1360"/>
      <c r="QAO170" s="1360"/>
      <c r="QAP170" s="1360"/>
      <c r="QAQ170" s="1360"/>
      <c r="QAR170" s="1362"/>
      <c r="QAS170" s="955"/>
      <c r="QAT170" s="963"/>
      <c r="QAU170" s="2242"/>
      <c r="QAV170" s="1360"/>
      <c r="QAW170" s="1360"/>
      <c r="QAX170" s="1360"/>
      <c r="QAY170" s="1360"/>
      <c r="QAZ170" s="1362"/>
      <c r="QBA170" s="955"/>
      <c r="QBB170" s="963"/>
      <c r="QBC170" s="2242"/>
      <c r="QBD170" s="1360"/>
      <c r="QBE170" s="1360"/>
      <c r="QBF170" s="1360"/>
      <c r="QBG170" s="1360"/>
      <c r="QBH170" s="1362"/>
      <c r="QBI170" s="955"/>
      <c r="QBJ170" s="963"/>
      <c r="QBK170" s="2242"/>
      <c r="QBL170" s="1360"/>
      <c r="QBM170" s="1360"/>
      <c r="QBN170" s="1360"/>
      <c r="QBO170" s="1360"/>
      <c r="QBP170" s="1362"/>
      <c r="QBQ170" s="955"/>
      <c r="QBR170" s="963"/>
      <c r="QBS170" s="2242"/>
      <c r="QBT170" s="1360"/>
      <c r="QBU170" s="1360"/>
      <c r="QBV170" s="1360"/>
      <c r="QBW170" s="1360"/>
      <c r="QBX170" s="1362"/>
      <c r="QBY170" s="955"/>
      <c r="QBZ170" s="963"/>
      <c r="QCA170" s="2242"/>
      <c r="QCB170" s="1360"/>
      <c r="QCC170" s="1360"/>
      <c r="QCD170" s="1360"/>
      <c r="QCE170" s="1360"/>
      <c r="QCF170" s="1362"/>
      <c r="QCG170" s="955"/>
      <c r="QCH170" s="963"/>
      <c r="QCI170" s="2242"/>
      <c r="QCJ170" s="1360"/>
      <c r="QCK170" s="1360"/>
      <c r="QCL170" s="1360"/>
      <c r="QCM170" s="1360"/>
      <c r="QCN170" s="1362"/>
      <c r="QCO170" s="955"/>
      <c r="QCP170" s="963"/>
      <c r="QCQ170" s="2242"/>
      <c r="QCR170" s="1360"/>
      <c r="QCS170" s="1360"/>
      <c r="QCT170" s="1360"/>
      <c r="QCU170" s="1360"/>
      <c r="QCV170" s="1362"/>
      <c r="QCW170" s="955"/>
      <c r="QCX170" s="963"/>
      <c r="QCY170" s="2242"/>
      <c r="QCZ170" s="1360"/>
      <c r="QDA170" s="1360"/>
      <c r="QDB170" s="1360"/>
      <c r="QDC170" s="1360"/>
      <c r="QDD170" s="1362"/>
      <c r="QDE170" s="955"/>
      <c r="QDF170" s="963"/>
      <c r="QDG170" s="2242"/>
      <c r="QDH170" s="1360"/>
      <c r="QDI170" s="1360"/>
      <c r="QDJ170" s="1360"/>
      <c r="QDK170" s="1360"/>
      <c r="QDL170" s="1362"/>
      <c r="QDM170" s="955"/>
      <c r="QDN170" s="963"/>
      <c r="QDO170" s="2242"/>
      <c r="QDP170" s="1360"/>
      <c r="QDQ170" s="1360"/>
      <c r="QDR170" s="1360"/>
      <c r="QDS170" s="1360"/>
      <c r="QDT170" s="1362"/>
      <c r="QDU170" s="955"/>
      <c r="QDV170" s="963"/>
      <c r="QDW170" s="2242"/>
      <c r="QDX170" s="1360"/>
      <c r="QDY170" s="1360"/>
      <c r="QDZ170" s="1360"/>
      <c r="QEA170" s="1360"/>
      <c r="QEB170" s="1362"/>
      <c r="QEC170" s="955"/>
      <c r="QED170" s="963"/>
      <c r="QEE170" s="2242"/>
      <c r="QEF170" s="1360"/>
      <c r="QEG170" s="1360"/>
      <c r="QEH170" s="1360"/>
      <c r="QEI170" s="1360"/>
      <c r="QEJ170" s="1362"/>
      <c r="QEK170" s="955"/>
      <c r="QEL170" s="963"/>
      <c r="QEM170" s="2242"/>
      <c r="QEN170" s="1360"/>
      <c r="QEO170" s="1360"/>
      <c r="QEP170" s="1360"/>
      <c r="QEQ170" s="1360"/>
      <c r="QER170" s="1362"/>
      <c r="QES170" s="955"/>
      <c r="QET170" s="963"/>
      <c r="QEU170" s="2242"/>
      <c r="QEV170" s="1360"/>
      <c r="QEW170" s="1360"/>
      <c r="QEX170" s="1360"/>
      <c r="QEY170" s="1360"/>
      <c r="QEZ170" s="1362"/>
      <c r="QFA170" s="955"/>
      <c r="QFB170" s="963"/>
      <c r="QFC170" s="2242"/>
      <c r="QFD170" s="1360"/>
      <c r="QFE170" s="1360"/>
      <c r="QFF170" s="1360"/>
      <c r="QFG170" s="1360"/>
      <c r="QFH170" s="1362"/>
      <c r="QFI170" s="955"/>
      <c r="QFJ170" s="963"/>
      <c r="QFK170" s="2242"/>
      <c r="QFL170" s="1360"/>
      <c r="QFM170" s="1360"/>
      <c r="QFN170" s="1360"/>
      <c r="QFO170" s="1360"/>
      <c r="QFP170" s="1362"/>
      <c r="QFQ170" s="955"/>
      <c r="QFR170" s="963"/>
      <c r="QFS170" s="2242"/>
      <c r="QFT170" s="1360"/>
      <c r="QFU170" s="1360"/>
      <c r="QFV170" s="1360"/>
      <c r="QFW170" s="1360"/>
      <c r="QFX170" s="1362"/>
      <c r="QFY170" s="955"/>
      <c r="QFZ170" s="963"/>
      <c r="QGA170" s="2242"/>
      <c r="QGB170" s="1360"/>
      <c r="QGC170" s="1360"/>
      <c r="QGD170" s="1360"/>
      <c r="QGE170" s="1360"/>
      <c r="QGF170" s="1362"/>
      <c r="QGG170" s="955"/>
      <c r="QGH170" s="963"/>
      <c r="QGI170" s="2242"/>
      <c r="QGJ170" s="1360"/>
      <c r="QGK170" s="1360"/>
      <c r="QGL170" s="1360"/>
      <c r="QGM170" s="1360"/>
      <c r="QGN170" s="1362"/>
      <c r="QGO170" s="955"/>
      <c r="QGP170" s="963"/>
      <c r="QGQ170" s="2242"/>
      <c r="QGR170" s="1360"/>
      <c r="QGS170" s="1360"/>
      <c r="QGT170" s="1360"/>
      <c r="QGU170" s="1360"/>
      <c r="QGV170" s="1362"/>
      <c r="QGW170" s="955"/>
      <c r="QGX170" s="963"/>
      <c r="QGY170" s="2242"/>
      <c r="QGZ170" s="1360"/>
      <c r="QHA170" s="1360"/>
      <c r="QHB170" s="1360"/>
      <c r="QHC170" s="1360"/>
      <c r="QHD170" s="1362"/>
      <c r="QHE170" s="955"/>
      <c r="QHF170" s="963"/>
      <c r="QHG170" s="2242"/>
      <c r="QHH170" s="1360"/>
      <c r="QHI170" s="1360"/>
      <c r="QHJ170" s="1360"/>
      <c r="QHK170" s="1360"/>
      <c r="QHL170" s="1362"/>
      <c r="QHM170" s="955"/>
      <c r="QHN170" s="963"/>
      <c r="QHO170" s="2242"/>
      <c r="QHP170" s="1360"/>
      <c r="QHQ170" s="1360"/>
      <c r="QHR170" s="1360"/>
      <c r="QHS170" s="1360"/>
      <c r="QHT170" s="1362"/>
      <c r="QHU170" s="955"/>
      <c r="QHV170" s="963"/>
      <c r="QHW170" s="2242"/>
      <c r="QHX170" s="1360"/>
      <c r="QHY170" s="1360"/>
      <c r="QHZ170" s="1360"/>
      <c r="QIA170" s="1360"/>
      <c r="QIB170" s="1362"/>
      <c r="QIC170" s="955"/>
      <c r="QID170" s="963"/>
      <c r="QIE170" s="2242"/>
      <c r="QIF170" s="1360"/>
      <c r="QIG170" s="1360"/>
      <c r="QIH170" s="1360"/>
      <c r="QII170" s="1360"/>
      <c r="QIJ170" s="1362"/>
      <c r="QIK170" s="955"/>
      <c r="QIL170" s="963"/>
      <c r="QIM170" s="2242"/>
      <c r="QIN170" s="1360"/>
      <c r="QIO170" s="1360"/>
      <c r="QIP170" s="1360"/>
      <c r="QIQ170" s="1360"/>
      <c r="QIR170" s="1362"/>
      <c r="QIS170" s="955"/>
      <c r="QIT170" s="963"/>
      <c r="QIU170" s="2242"/>
      <c r="QIV170" s="1360"/>
      <c r="QIW170" s="1360"/>
      <c r="QIX170" s="1360"/>
      <c r="QIY170" s="1360"/>
      <c r="QIZ170" s="1362"/>
      <c r="QJA170" s="955"/>
      <c r="QJB170" s="963"/>
      <c r="QJC170" s="2242"/>
      <c r="QJD170" s="1360"/>
      <c r="QJE170" s="1360"/>
      <c r="QJF170" s="1360"/>
      <c r="QJG170" s="1360"/>
      <c r="QJH170" s="1362"/>
      <c r="QJI170" s="955"/>
      <c r="QJJ170" s="963"/>
      <c r="QJK170" s="2242"/>
      <c r="QJL170" s="1360"/>
      <c r="QJM170" s="1360"/>
      <c r="QJN170" s="1360"/>
      <c r="QJO170" s="1360"/>
      <c r="QJP170" s="1362"/>
      <c r="QJQ170" s="955"/>
      <c r="QJR170" s="963"/>
      <c r="QJS170" s="2242"/>
      <c r="QJT170" s="1360"/>
      <c r="QJU170" s="1360"/>
      <c r="QJV170" s="1360"/>
      <c r="QJW170" s="1360"/>
      <c r="QJX170" s="1362"/>
      <c r="QJY170" s="955"/>
      <c r="QJZ170" s="963"/>
      <c r="QKA170" s="2242"/>
      <c r="QKB170" s="1360"/>
      <c r="QKC170" s="1360"/>
      <c r="QKD170" s="1360"/>
      <c r="QKE170" s="1360"/>
      <c r="QKF170" s="1362"/>
      <c r="QKG170" s="955"/>
      <c r="QKH170" s="963"/>
      <c r="QKI170" s="2242"/>
      <c r="QKJ170" s="1360"/>
      <c r="QKK170" s="1360"/>
      <c r="QKL170" s="1360"/>
      <c r="QKM170" s="1360"/>
      <c r="QKN170" s="1362"/>
      <c r="QKO170" s="955"/>
      <c r="QKP170" s="963"/>
      <c r="QKQ170" s="2242"/>
      <c r="QKR170" s="1360"/>
      <c r="QKS170" s="1360"/>
      <c r="QKT170" s="1360"/>
      <c r="QKU170" s="1360"/>
      <c r="QKV170" s="1362"/>
      <c r="QKW170" s="955"/>
      <c r="QKX170" s="963"/>
      <c r="QKY170" s="2242"/>
      <c r="QKZ170" s="1360"/>
      <c r="QLA170" s="1360"/>
      <c r="QLB170" s="1360"/>
      <c r="QLC170" s="1360"/>
      <c r="QLD170" s="1362"/>
      <c r="QLE170" s="955"/>
      <c r="QLF170" s="963"/>
      <c r="QLG170" s="2242"/>
      <c r="QLH170" s="1360"/>
      <c r="QLI170" s="1360"/>
      <c r="QLJ170" s="1360"/>
      <c r="QLK170" s="1360"/>
      <c r="QLL170" s="1362"/>
      <c r="QLM170" s="955"/>
      <c r="QLN170" s="963"/>
      <c r="QLO170" s="2242"/>
      <c r="QLP170" s="1360"/>
      <c r="QLQ170" s="1360"/>
      <c r="QLR170" s="1360"/>
      <c r="QLS170" s="1360"/>
      <c r="QLT170" s="1362"/>
      <c r="QLU170" s="955"/>
      <c r="QLV170" s="963"/>
      <c r="QLW170" s="2242"/>
      <c r="QLX170" s="1360"/>
      <c r="QLY170" s="1360"/>
      <c r="QLZ170" s="1360"/>
      <c r="QMA170" s="1360"/>
      <c r="QMB170" s="1362"/>
      <c r="QMC170" s="955"/>
      <c r="QMD170" s="963"/>
      <c r="QME170" s="2242"/>
      <c r="QMF170" s="1360"/>
      <c r="QMG170" s="1360"/>
      <c r="QMH170" s="1360"/>
      <c r="QMI170" s="1360"/>
      <c r="QMJ170" s="1362"/>
      <c r="QMK170" s="955"/>
      <c r="QML170" s="963"/>
      <c r="QMM170" s="2242"/>
      <c r="QMN170" s="1360"/>
      <c r="QMO170" s="1360"/>
      <c r="QMP170" s="1360"/>
      <c r="QMQ170" s="1360"/>
      <c r="QMR170" s="1362"/>
      <c r="QMS170" s="955"/>
      <c r="QMT170" s="963"/>
      <c r="QMU170" s="2242"/>
      <c r="QMV170" s="1360"/>
      <c r="QMW170" s="1360"/>
      <c r="QMX170" s="1360"/>
      <c r="QMY170" s="1360"/>
      <c r="QMZ170" s="1362"/>
      <c r="QNA170" s="955"/>
      <c r="QNB170" s="963"/>
      <c r="QNC170" s="2242"/>
      <c r="QND170" s="1360"/>
      <c r="QNE170" s="1360"/>
      <c r="QNF170" s="1360"/>
      <c r="QNG170" s="1360"/>
      <c r="QNH170" s="1362"/>
      <c r="QNI170" s="955"/>
      <c r="QNJ170" s="963"/>
      <c r="QNK170" s="2242"/>
      <c r="QNL170" s="1360"/>
      <c r="QNM170" s="1360"/>
      <c r="QNN170" s="1360"/>
      <c r="QNO170" s="1360"/>
      <c r="QNP170" s="1362"/>
      <c r="QNQ170" s="955"/>
      <c r="QNR170" s="963"/>
      <c r="QNS170" s="2242"/>
      <c r="QNT170" s="1360"/>
      <c r="QNU170" s="1360"/>
      <c r="QNV170" s="1360"/>
      <c r="QNW170" s="1360"/>
      <c r="QNX170" s="1362"/>
      <c r="QNY170" s="955"/>
      <c r="QNZ170" s="963"/>
      <c r="QOA170" s="2242"/>
      <c r="QOB170" s="1360"/>
      <c r="QOC170" s="1360"/>
      <c r="QOD170" s="1360"/>
      <c r="QOE170" s="1360"/>
      <c r="QOF170" s="1362"/>
      <c r="QOG170" s="955"/>
      <c r="QOH170" s="963"/>
      <c r="QOI170" s="2242"/>
      <c r="QOJ170" s="1360"/>
      <c r="QOK170" s="1360"/>
      <c r="QOL170" s="1360"/>
      <c r="QOM170" s="1360"/>
      <c r="QON170" s="1362"/>
      <c r="QOO170" s="955"/>
      <c r="QOP170" s="963"/>
      <c r="QOQ170" s="2242"/>
      <c r="QOR170" s="1360"/>
      <c r="QOS170" s="1360"/>
      <c r="QOT170" s="1360"/>
      <c r="QOU170" s="1360"/>
      <c r="QOV170" s="1362"/>
      <c r="QOW170" s="955"/>
      <c r="QOX170" s="963"/>
      <c r="QOY170" s="2242"/>
      <c r="QOZ170" s="1360"/>
      <c r="QPA170" s="1360"/>
      <c r="QPB170" s="1360"/>
      <c r="QPC170" s="1360"/>
      <c r="QPD170" s="1362"/>
      <c r="QPE170" s="955"/>
      <c r="QPF170" s="963"/>
      <c r="QPG170" s="2242"/>
      <c r="QPH170" s="1360"/>
      <c r="QPI170" s="1360"/>
      <c r="QPJ170" s="1360"/>
      <c r="QPK170" s="1360"/>
      <c r="QPL170" s="1362"/>
      <c r="QPM170" s="955"/>
      <c r="QPN170" s="963"/>
      <c r="QPO170" s="2242"/>
      <c r="QPP170" s="1360"/>
      <c r="QPQ170" s="1360"/>
      <c r="QPR170" s="1360"/>
      <c r="QPS170" s="1360"/>
      <c r="QPT170" s="1362"/>
      <c r="QPU170" s="955"/>
      <c r="QPV170" s="963"/>
      <c r="QPW170" s="2242"/>
      <c r="QPX170" s="1360"/>
      <c r="QPY170" s="1360"/>
      <c r="QPZ170" s="1360"/>
      <c r="QQA170" s="1360"/>
      <c r="QQB170" s="1362"/>
      <c r="QQC170" s="955"/>
      <c r="QQD170" s="963"/>
      <c r="QQE170" s="2242"/>
      <c r="QQF170" s="1360"/>
      <c r="QQG170" s="1360"/>
      <c r="QQH170" s="1360"/>
      <c r="QQI170" s="1360"/>
      <c r="QQJ170" s="1362"/>
      <c r="QQK170" s="955"/>
      <c r="QQL170" s="963"/>
      <c r="QQM170" s="2242"/>
      <c r="QQN170" s="1360"/>
      <c r="QQO170" s="1360"/>
      <c r="QQP170" s="1360"/>
      <c r="QQQ170" s="1360"/>
      <c r="QQR170" s="1362"/>
      <c r="QQS170" s="955"/>
      <c r="QQT170" s="963"/>
      <c r="QQU170" s="2242"/>
      <c r="QQV170" s="1360"/>
      <c r="QQW170" s="1360"/>
      <c r="QQX170" s="1360"/>
      <c r="QQY170" s="1360"/>
      <c r="QQZ170" s="1362"/>
      <c r="QRA170" s="955"/>
      <c r="QRB170" s="963"/>
      <c r="QRC170" s="2242"/>
      <c r="QRD170" s="1360"/>
      <c r="QRE170" s="1360"/>
      <c r="QRF170" s="1360"/>
      <c r="QRG170" s="1360"/>
      <c r="QRH170" s="1362"/>
      <c r="QRI170" s="955"/>
      <c r="QRJ170" s="963"/>
      <c r="QRK170" s="2242"/>
      <c r="QRL170" s="1360"/>
      <c r="QRM170" s="1360"/>
      <c r="QRN170" s="1360"/>
      <c r="QRO170" s="1360"/>
      <c r="QRP170" s="1362"/>
      <c r="QRQ170" s="955"/>
      <c r="QRR170" s="963"/>
      <c r="QRS170" s="2242"/>
      <c r="QRT170" s="1360"/>
      <c r="QRU170" s="1360"/>
      <c r="QRV170" s="1360"/>
      <c r="QRW170" s="1360"/>
      <c r="QRX170" s="1362"/>
      <c r="QRY170" s="955"/>
      <c r="QRZ170" s="963"/>
      <c r="QSA170" s="2242"/>
      <c r="QSB170" s="1360"/>
      <c r="QSC170" s="1360"/>
      <c r="QSD170" s="1360"/>
      <c r="QSE170" s="1360"/>
      <c r="QSF170" s="1362"/>
      <c r="QSG170" s="955"/>
      <c r="QSH170" s="963"/>
      <c r="QSI170" s="2242"/>
      <c r="QSJ170" s="1360"/>
      <c r="QSK170" s="1360"/>
      <c r="QSL170" s="1360"/>
      <c r="QSM170" s="1360"/>
      <c r="QSN170" s="1362"/>
      <c r="QSO170" s="955"/>
      <c r="QSP170" s="963"/>
      <c r="QSQ170" s="2242"/>
      <c r="QSR170" s="1360"/>
      <c r="QSS170" s="1360"/>
      <c r="QST170" s="1360"/>
      <c r="QSU170" s="1360"/>
      <c r="QSV170" s="1362"/>
      <c r="QSW170" s="955"/>
      <c r="QSX170" s="963"/>
      <c r="QSY170" s="2242"/>
      <c r="QSZ170" s="1360"/>
      <c r="QTA170" s="1360"/>
      <c r="QTB170" s="1360"/>
      <c r="QTC170" s="1360"/>
      <c r="QTD170" s="1362"/>
      <c r="QTE170" s="955"/>
      <c r="QTF170" s="963"/>
      <c r="QTG170" s="2242"/>
      <c r="QTH170" s="1360"/>
      <c r="QTI170" s="1360"/>
      <c r="QTJ170" s="1360"/>
      <c r="QTK170" s="1360"/>
      <c r="QTL170" s="1362"/>
      <c r="QTM170" s="955"/>
      <c r="QTN170" s="963"/>
      <c r="QTO170" s="2242"/>
      <c r="QTP170" s="1360"/>
      <c r="QTQ170" s="1360"/>
      <c r="QTR170" s="1360"/>
      <c r="QTS170" s="1360"/>
      <c r="QTT170" s="1362"/>
      <c r="QTU170" s="955"/>
      <c r="QTV170" s="963"/>
      <c r="QTW170" s="2242"/>
      <c r="QTX170" s="1360"/>
      <c r="QTY170" s="1360"/>
      <c r="QTZ170" s="1360"/>
      <c r="QUA170" s="1360"/>
      <c r="QUB170" s="1362"/>
      <c r="QUC170" s="955"/>
      <c r="QUD170" s="963"/>
      <c r="QUE170" s="2242"/>
      <c r="QUF170" s="1360"/>
      <c r="QUG170" s="1360"/>
      <c r="QUH170" s="1360"/>
      <c r="QUI170" s="1360"/>
      <c r="QUJ170" s="1362"/>
      <c r="QUK170" s="955"/>
      <c r="QUL170" s="963"/>
      <c r="QUM170" s="2242"/>
      <c r="QUN170" s="1360"/>
      <c r="QUO170" s="1360"/>
      <c r="QUP170" s="1360"/>
      <c r="QUQ170" s="1360"/>
      <c r="QUR170" s="1362"/>
      <c r="QUS170" s="955"/>
      <c r="QUT170" s="963"/>
      <c r="QUU170" s="2242"/>
      <c r="QUV170" s="1360"/>
      <c r="QUW170" s="1360"/>
      <c r="QUX170" s="1360"/>
      <c r="QUY170" s="1360"/>
      <c r="QUZ170" s="1362"/>
      <c r="QVA170" s="955"/>
      <c r="QVB170" s="963"/>
      <c r="QVC170" s="2242"/>
      <c r="QVD170" s="1360"/>
      <c r="QVE170" s="1360"/>
      <c r="QVF170" s="1360"/>
      <c r="QVG170" s="1360"/>
      <c r="QVH170" s="1362"/>
      <c r="QVI170" s="955"/>
      <c r="QVJ170" s="963"/>
      <c r="QVK170" s="2242"/>
      <c r="QVL170" s="1360"/>
      <c r="QVM170" s="1360"/>
      <c r="QVN170" s="1360"/>
      <c r="QVO170" s="1360"/>
      <c r="QVP170" s="1362"/>
      <c r="QVQ170" s="955"/>
      <c r="QVR170" s="963"/>
      <c r="QVS170" s="2242"/>
      <c r="QVT170" s="1360"/>
      <c r="QVU170" s="1360"/>
      <c r="QVV170" s="1360"/>
      <c r="QVW170" s="1360"/>
      <c r="QVX170" s="1362"/>
      <c r="QVY170" s="955"/>
      <c r="QVZ170" s="963"/>
      <c r="QWA170" s="2242"/>
      <c r="QWB170" s="1360"/>
      <c r="QWC170" s="1360"/>
      <c r="QWD170" s="1360"/>
      <c r="QWE170" s="1360"/>
      <c r="QWF170" s="1362"/>
      <c r="QWG170" s="955"/>
      <c r="QWH170" s="963"/>
      <c r="QWI170" s="2242"/>
      <c r="QWJ170" s="1360"/>
      <c r="QWK170" s="1360"/>
      <c r="QWL170" s="1360"/>
      <c r="QWM170" s="1360"/>
      <c r="QWN170" s="1362"/>
      <c r="QWO170" s="955"/>
      <c r="QWP170" s="963"/>
      <c r="QWQ170" s="2242"/>
      <c r="QWR170" s="1360"/>
      <c r="QWS170" s="1360"/>
      <c r="QWT170" s="1360"/>
      <c r="QWU170" s="1360"/>
      <c r="QWV170" s="1362"/>
      <c r="QWW170" s="955"/>
      <c r="QWX170" s="963"/>
      <c r="QWY170" s="2242"/>
      <c r="QWZ170" s="1360"/>
      <c r="QXA170" s="1360"/>
      <c r="QXB170" s="1360"/>
      <c r="QXC170" s="1360"/>
      <c r="QXD170" s="1362"/>
      <c r="QXE170" s="955"/>
      <c r="QXF170" s="963"/>
      <c r="QXG170" s="2242"/>
      <c r="QXH170" s="1360"/>
      <c r="QXI170" s="1360"/>
      <c r="QXJ170" s="1360"/>
      <c r="QXK170" s="1360"/>
      <c r="QXL170" s="1362"/>
      <c r="QXM170" s="955"/>
      <c r="QXN170" s="963"/>
      <c r="QXO170" s="2242"/>
      <c r="QXP170" s="1360"/>
      <c r="QXQ170" s="1360"/>
      <c r="QXR170" s="1360"/>
      <c r="QXS170" s="1360"/>
      <c r="QXT170" s="1362"/>
      <c r="QXU170" s="955"/>
      <c r="QXV170" s="963"/>
      <c r="QXW170" s="2242"/>
      <c r="QXX170" s="1360"/>
      <c r="QXY170" s="1360"/>
      <c r="QXZ170" s="1360"/>
      <c r="QYA170" s="1360"/>
      <c r="QYB170" s="1362"/>
      <c r="QYC170" s="955"/>
      <c r="QYD170" s="963"/>
      <c r="QYE170" s="2242"/>
      <c r="QYF170" s="1360"/>
      <c r="QYG170" s="1360"/>
      <c r="QYH170" s="1360"/>
      <c r="QYI170" s="1360"/>
      <c r="QYJ170" s="1362"/>
      <c r="QYK170" s="955"/>
      <c r="QYL170" s="963"/>
      <c r="QYM170" s="2242"/>
      <c r="QYN170" s="1360"/>
      <c r="QYO170" s="1360"/>
      <c r="QYP170" s="1360"/>
      <c r="QYQ170" s="1360"/>
      <c r="QYR170" s="1362"/>
      <c r="QYS170" s="955"/>
      <c r="QYT170" s="963"/>
      <c r="QYU170" s="2242"/>
      <c r="QYV170" s="1360"/>
      <c r="QYW170" s="1360"/>
      <c r="QYX170" s="1360"/>
      <c r="QYY170" s="1360"/>
      <c r="QYZ170" s="1362"/>
      <c r="QZA170" s="955"/>
      <c r="QZB170" s="963"/>
      <c r="QZC170" s="2242"/>
      <c r="QZD170" s="1360"/>
      <c r="QZE170" s="1360"/>
      <c r="QZF170" s="1360"/>
      <c r="QZG170" s="1360"/>
      <c r="QZH170" s="1362"/>
      <c r="QZI170" s="955"/>
      <c r="QZJ170" s="963"/>
      <c r="QZK170" s="2242"/>
      <c r="QZL170" s="1360"/>
      <c r="QZM170" s="1360"/>
      <c r="QZN170" s="1360"/>
      <c r="QZO170" s="1360"/>
      <c r="QZP170" s="1362"/>
      <c r="QZQ170" s="955"/>
      <c r="QZR170" s="963"/>
      <c r="QZS170" s="2242"/>
      <c r="QZT170" s="1360"/>
      <c r="QZU170" s="1360"/>
      <c r="QZV170" s="1360"/>
      <c r="QZW170" s="1360"/>
      <c r="QZX170" s="1362"/>
      <c r="QZY170" s="955"/>
      <c r="QZZ170" s="963"/>
      <c r="RAA170" s="2242"/>
      <c r="RAB170" s="1360"/>
      <c r="RAC170" s="1360"/>
      <c r="RAD170" s="1360"/>
      <c r="RAE170" s="1360"/>
      <c r="RAF170" s="1362"/>
      <c r="RAG170" s="955"/>
      <c r="RAH170" s="963"/>
      <c r="RAI170" s="2242"/>
      <c r="RAJ170" s="1360"/>
      <c r="RAK170" s="1360"/>
      <c r="RAL170" s="1360"/>
      <c r="RAM170" s="1360"/>
      <c r="RAN170" s="1362"/>
      <c r="RAO170" s="955"/>
      <c r="RAP170" s="963"/>
      <c r="RAQ170" s="2242"/>
      <c r="RAR170" s="1360"/>
      <c r="RAS170" s="1360"/>
      <c r="RAT170" s="1360"/>
      <c r="RAU170" s="1360"/>
      <c r="RAV170" s="1362"/>
      <c r="RAW170" s="955"/>
      <c r="RAX170" s="963"/>
      <c r="RAY170" s="2242"/>
      <c r="RAZ170" s="1360"/>
      <c r="RBA170" s="1360"/>
      <c r="RBB170" s="1360"/>
      <c r="RBC170" s="1360"/>
      <c r="RBD170" s="1362"/>
      <c r="RBE170" s="955"/>
      <c r="RBF170" s="963"/>
      <c r="RBG170" s="2242"/>
      <c r="RBH170" s="1360"/>
      <c r="RBI170" s="1360"/>
      <c r="RBJ170" s="1360"/>
      <c r="RBK170" s="1360"/>
      <c r="RBL170" s="1362"/>
      <c r="RBM170" s="955"/>
      <c r="RBN170" s="963"/>
      <c r="RBO170" s="2242"/>
      <c r="RBP170" s="1360"/>
      <c r="RBQ170" s="1360"/>
      <c r="RBR170" s="1360"/>
      <c r="RBS170" s="1360"/>
      <c r="RBT170" s="1362"/>
      <c r="RBU170" s="955"/>
      <c r="RBV170" s="963"/>
      <c r="RBW170" s="2242"/>
      <c r="RBX170" s="1360"/>
      <c r="RBY170" s="1360"/>
      <c r="RBZ170" s="1360"/>
      <c r="RCA170" s="1360"/>
      <c r="RCB170" s="1362"/>
      <c r="RCC170" s="955"/>
      <c r="RCD170" s="963"/>
      <c r="RCE170" s="2242"/>
      <c r="RCF170" s="1360"/>
      <c r="RCG170" s="1360"/>
      <c r="RCH170" s="1360"/>
      <c r="RCI170" s="1360"/>
      <c r="RCJ170" s="1362"/>
      <c r="RCK170" s="955"/>
      <c r="RCL170" s="963"/>
      <c r="RCM170" s="2242"/>
      <c r="RCN170" s="1360"/>
      <c r="RCO170" s="1360"/>
      <c r="RCP170" s="1360"/>
      <c r="RCQ170" s="1360"/>
      <c r="RCR170" s="1362"/>
      <c r="RCS170" s="955"/>
      <c r="RCT170" s="963"/>
      <c r="RCU170" s="2242"/>
      <c r="RCV170" s="1360"/>
      <c r="RCW170" s="1360"/>
      <c r="RCX170" s="1360"/>
      <c r="RCY170" s="1360"/>
      <c r="RCZ170" s="1362"/>
      <c r="RDA170" s="955"/>
      <c r="RDB170" s="963"/>
      <c r="RDC170" s="2242"/>
      <c r="RDD170" s="1360"/>
      <c r="RDE170" s="1360"/>
      <c r="RDF170" s="1360"/>
      <c r="RDG170" s="1360"/>
      <c r="RDH170" s="1362"/>
      <c r="RDI170" s="955"/>
      <c r="RDJ170" s="963"/>
      <c r="RDK170" s="2242"/>
      <c r="RDL170" s="1360"/>
      <c r="RDM170" s="1360"/>
      <c r="RDN170" s="1360"/>
      <c r="RDO170" s="1360"/>
      <c r="RDP170" s="1362"/>
      <c r="RDQ170" s="955"/>
      <c r="RDR170" s="963"/>
      <c r="RDS170" s="2242"/>
      <c r="RDT170" s="1360"/>
      <c r="RDU170" s="1360"/>
      <c r="RDV170" s="1360"/>
      <c r="RDW170" s="1360"/>
      <c r="RDX170" s="1362"/>
      <c r="RDY170" s="955"/>
      <c r="RDZ170" s="963"/>
      <c r="REA170" s="2242"/>
      <c r="REB170" s="1360"/>
      <c r="REC170" s="1360"/>
      <c r="RED170" s="1360"/>
      <c r="REE170" s="1360"/>
      <c r="REF170" s="1362"/>
      <c r="REG170" s="955"/>
      <c r="REH170" s="963"/>
      <c r="REI170" s="2242"/>
      <c r="REJ170" s="1360"/>
      <c r="REK170" s="1360"/>
      <c r="REL170" s="1360"/>
      <c r="REM170" s="1360"/>
      <c r="REN170" s="1362"/>
      <c r="REO170" s="955"/>
      <c r="REP170" s="963"/>
      <c r="REQ170" s="2242"/>
      <c r="RER170" s="1360"/>
      <c r="RES170" s="1360"/>
      <c r="RET170" s="1360"/>
      <c r="REU170" s="1360"/>
      <c r="REV170" s="1362"/>
      <c r="REW170" s="955"/>
      <c r="REX170" s="963"/>
      <c r="REY170" s="2242"/>
      <c r="REZ170" s="1360"/>
      <c r="RFA170" s="1360"/>
      <c r="RFB170" s="1360"/>
      <c r="RFC170" s="1360"/>
      <c r="RFD170" s="1362"/>
      <c r="RFE170" s="955"/>
      <c r="RFF170" s="963"/>
      <c r="RFG170" s="2242"/>
      <c r="RFH170" s="1360"/>
      <c r="RFI170" s="1360"/>
      <c r="RFJ170" s="1360"/>
      <c r="RFK170" s="1360"/>
      <c r="RFL170" s="1362"/>
      <c r="RFM170" s="955"/>
      <c r="RFN170" s="963"/>
      <c r="RFO170" s="2242"/>
      <c r="RFP170" s="1360"/>
      <c r="RFQ170" s="1360"/>
      <c r="RFR170" s="1360"/>
      <c r="RFS170" s="1360"/>
      <c r="RFT170" s="1362"/>
      <c r="RFU170" s="955"/>
      <c r="RFV170" s="963"/>
      <c r="RFW170" s="2242"/>
      <c r="RFX170" s="1360"/>
      <c r="RFY170" s="1360"/>
      <c r="RFZ170" s="1360"/>
      <c r="RGA170" s="1360"/>
      <c r="RGB170" s="1362"/>
      <c r="RGC170" s="955"/>
      <c r="RGD170" s="963"/>
      <c r="RGE170" s="2242"/>
      <c r="RGF170" s="1360"/>
      <c r="RGG170" s="1360"/>
      <c r="RGH170" s="1360"/>
      <c r="RGI170" s="1360"/>
      <c r="RGJ170" s="1362"/>
      <c r="RGK170" s="955"/>
      <c r="RGL170" s="963"/>
      <c r="RGM170" s="2242"/>
      <c r="RGN170" s="1360"/>
      <c r="RGO170" s="1360"/>
      <c r="RGP170" s="1360"/>
      <c r="RGQ170" s="1360"/>
      <c r="RGR170" s="1362"/>
      <c r="RGS170" s="955"/>
      <c r="RGT170" s="963"/>
      <c r="RGU170" s="2242"/>
      <c r="RGV170" s="1360"/>
      <c r="RGW170" s="1360"/>
      <c r="RGX170" s="1360"/>
      <c r="RGY170" s="1360"/>
      <c r="RGZ170" s="1362"/>
      <c r="RHA170" s="955"/>
      <c r="RHB170" s="963"/>
      <c r="RHC170" s="2242"/>
      <c r="RHD170" s="1360"/>
      <c r="RHE170" s="1360"/>
      <c r="RHF170" s="1360"/>
      <c r="RHG170" s="1360"/>
      <c r="RHH170" s="1362"/>
      <c r="RHI170" s="955"/>
      <c r="RHJ170" s="963"/>
      <c r="RHK170" s="2242"/>
      <c r="RHL170" s="1360"/>
      <c r="RHM170" s="1360"/>
      <c r="RHN170" s="1360"/>
      <c r="RHO170" s="1360"/>
      <c r="RHP170" s="1362"/>
      <c r="RHQ170" s="955"/>
      <c r="RHR170" s="963"/>
      <c r="RHS170" s="2242"/>
      <c r="RHT170" s="1360"/>
      <c r="RHU170" s="1360"/>
      <c r="RHV170" s="1360"/>
      <c r="RHW170" s="1360"/>
      <c r="RHX170" s="1362"/>
      <c r="RHY170" s="955"/>
      <c r="RHZ170" s="963"/>
      <c r="RIA170" s="2242"/>
      <c r="RIB170" s="1360"/>
      <c r="RIC170" s="1360"/>
      <c r="RID170" s="1360"/>
      <c r="RIE170" s="1360"/>
      <c r="RIF170" s="1362"/>
      <c r="RIG170" s="955"/>
      <c r="RIH170" s="963"/>
      <c r="RII170" s="2242"/>
      <c r="RIJ170" s="1360"/>
      <c r="RIK170" s="1360"/>
      <c r="RIL170" s="1360"/>
      <c r="RIM170" s="1360"/>
      <c r="RIN170" s="1362"/>
      <c r="RIO170" s="955"/>
      <c r="RIP170" s="963"/>
      <c r="RIQ170" s="2242"/>
      <c r="RIR170" s="1360"/>
      <c r="RIS170" s="1360"/>
      <c r="RIT170" s="1360"/>
      <c r="RIU170" s="1360"/>
      <c r="RIV170" s="1362"/>
      <c r="RIW170" s="955"/>
      <c r="RIX170" s="963"/>
      <c r="RIY170" s="2242"/>
      <c r="RIZ170" s="1360"/>
      <c r="RJA170" s="1360"/>
      <c r="RJB170" s="1360"/>
      <c r="RJC170" s="1360"/>
      <c r="RJD170" s="1362"/>
      <c r="RJE170" s="955"/>
      <c r="RJF170" s="963"/>
      <c r="RJG170" s="2242"/>
      <c r="RJH170" s="1360"/>
      <c r="RJI170" s="1360"/>
      <c r="RJJ170" s="1360"/>
      <c r="RJK170" s="1360"/>
      <c r="RJL170" s="1362"/>
      <c r="RJM170" s="955"/>
      <c r="RJN170" s="963"/>
      <c r="RJO170" s="2242"/>
      <c r="RJP170" s="1360"/>
      <c r="RJQ170" s="1360"/>
      <c r="RJR170" s="1360"/>
      <c r="RJS170" s="1360"/>
      <c r="RJT170" s="1362"/>
      <c r="RJU170" s="955"/>
      <c r="RJV170" s="963"/>
      <c r="RJW170" s="2242"/>
      <c r="RJX170" s="1360"/>
      <c r="RJY170" s="1360"/>
      <c r="RJZ170" s="1360"/>
      <c r="RKA170" s="1360"/>
      <c r="RKB170" s="1362"/>
      <c r="RKC170" s="955"/>
      <c r="RKD170" s="963"/>
      <c r="RKE170" s="2242"/>
      <c r="RKF170" s="1360"/>
      <c r="RKG170" s="1360"/>
      <c r="RKH170" s="1360"/>
      <c r="RKI170" s="1360"/>
      <c r="RKJ170" s="1362"/>
      <c r="RKK170" s="955"/>
      <c r="RKL170" s="963"/>
      <c r="RKM170" s="2242"/>
      <c r="RKN170" s="1360"/>
      <c r="RKO170" s="1360"/>
      <c r="RKP170" s="1360"/>
      <c r="RKQ170" s="1360"/>
      <c r="RKR170" s="1362"/>
      <c r="RKS170" s="955"/>
      <c r="RKT170" s="963"/>
      <c r="RKU170" s="2242"/>
      <c r="RKV170" s="1360"/>
      <c r="RKW170" s="1360"/>
      <c r="RKX170" s="1360"/>
      <c r="RKY170" s="1360"/>
      <c r="RKZ170" s="1362"/>
      <c r="RLA170" s="955"/>
      <c r="RLB170" s="963"/>
      <c r="RLC170" s="2242"/>
      <c r="RLD170" s="1360"/>
      <c r="RLE170" s="1360"/>
      <c r="RLF170" s="1360"/>
      <c r="RLG170" s="1360"/>
      <c r="RLH170" s="1362"/>
      <c r="RLI170" s="955"/>
      <c r="RLJ170" s="963"/>
      <c r="RLK170" s="2242"/>
      <c r="RLL170" s="1360"/>
      <c r="RLM170" s="1360"/>
      <c r="RLN170" s="1360"/>
      <c r="RLO170" s="1360"/>
      <c r="RLP170" s="1362"/>
      <c r="RLQ170" s="955"/>
      <c r="RLR170" s="963"/>
      <c r="RLS170" s="2242"/>
      <c r="RLT170" s="1360"/>
      <c r="RLU170" s="1360"/>
      <c r="RLV170" s="1360"/>
      <c r="RLW170" s="1360"/>
      <c r="RLX170" s="1362"/>
      <c r="RLY170" s="955"/>
      <c r="RLZ170" s="963"/>
      <c r="RMA170" s="2242"/>
      <c r="RMB170" s="1360"/>
      <c r="RMC170" s="1360"/>
      <c r="RMD170" s="1360"/>
      <c r="RME170" s="1360"/>
      <c r="RMF170" s="1362"/>
      <c r="RMG170" s="955"/>
      <c r="RMH170" s="963"/>
      <c r="RMI170" s="2242"/>
      <c r="RMJ170" s="1360"/>
      <c r="RMK170" s="1360"/>
      <c r="RML170" s="1360"/>
      <c r="RMM170" s="1360"/>
      <c r="RMN170" s="1362"/>
      <c r="RMO170" s="955"/>
      <c r="RMP170" s="963"/>
      <c r="RMQ170" s="2242"/>
      <c r="RMR170" s="1360"/>
      <c r="RMS170" s="1360"/>
      <c r="RMT170" s="1360"/>
      <c r="RMU170" s="1360"/>
      <c r="RMV170" s="1362"/>
      <c r="RMW170" s="955"/>
      <c r="RMX170" s="963"/>
      <c r="RMY170" s="2242"/>
      <c r="RMZ170" s="1360"/>
      <c r="RNA170" s="1360"/>
      <c r="RNB170" s="1360"/>
      <c r="RNC170" s="1360"/>
      <c r="RND170" s="1362"/>
      <c r="RNE170" s="955"/>
      <c r="RNF170" s="963"/>
      <c r="RNG170" s="2242"/>
      <c r="RNH170" s="1360"/>
      <c r="RNI170" s="1360"/>
      <c r="RNJ170" s="1360"/>
      <c r="RNK170" s="1360"/>
      <c r="RNL170" s="1362"/>
      <c r="RNM170" s="955"/>
      <c r="RNN170" s="963"/>
      <c r="RNO170" s="2242"/>
      <c r="RNP170" s="1360"/>
      <c r="RNQ170" s="1360"/>
      <c r="RNR170" s="1360"/>
      <c r="RNS170" s="1360"/>
      <c r="RNT170" s="1362"/>
      <c r="RNU170" s="955"/>
      <c r="RNV170" s="963"/>
      <c r="RNW170" s="2242"/>
      <c r="RNX170" s="1360"/>
      <c r="RNY170" s="1360"/>
      <c r="RNZ170" s="1360"/>
      <c r="ROA170" s="1360"/>
      <c r="ROB170" s="1362"/>
      <c r="ROC170" s="955"/>
      <c r="ROD170" s="963"/>
      <c r="ROE170" s="2242"/>
      <c r="ROF170" s="1360"/>
      <c r="ROG170" s="1360"/>
      <c r="ROH170" s="1360"/>
      <c r="ROI170" s="1360"/>
      <c r="ROJ170" s="1362"/>
      <c r="ROK170" s="955"/>
      <c r="ROL170" s="963"/>
      <c r="ROM170" s="2242"/>
      <c r="RON170" s="1360"/>
      <c r="ROO170" s="1360"/>
      <c r="ROP170" s="1360"/>
      <c r="ROQ170" s="1360"/>
      <c r="ROR170" s="1362"/>
      <c r="ROS170" s="955"/>
      <c r="ROT170" s="963"/>
      <c r="ROU170" s="2242"/>
      <c r="ROV170" s="1360"/>
      <c r="ROW170" s="1360"/>
      <c r="ROX170" s="1360"/>
      <c r="ROY170" s="1360"/>
      <c r="ROZ170" s="1362"/>
      <c r="RPA170" s="955"/>
      <c r="RPB170" s="963"/>
      <c r="RPC170" s="2242"/>
      <c r="RPD170" s="1360"/>
      <c r="RPE170" s="1360"/>
      <c r="RPF170" s="1360"/>
      <c r="RPG170" s="1360"/>
      <c r="RPH170" s="1362"/>
      <c r="RPI170" s="955"/>
      <c r="RPJ170" s="963"/>
      <c r="RPK170" s="2242"/>
      <c r="RPL170" s="1360"/>
      <c r="RPM170" s="1360"/>
      <c r="RPN170" s="1360"/>
      <c r="RPO170" s="1360"/>
      <c r="RPP170" s="1362"/>
      <c r="RPQ170" s="955"/>
      <c r="RPR170" s="963"/>
      <c r="RPS170" s="2242"/>
      <c r="RPT170" s="1360"/>
      <c r="RPU170" s="1360"/>
      <c r="RPV170" s="1360"/>
      <c r="RPW170" s="1360"/>
      <c r="RPX170" s="1362"/>
      <c r="RPY170" s="955"/>
      <c r="RPZ170" s="963"/>
      <c r="RQA170" s="2242"/>
      <c r="RQB170" s="1360"/>
      <c r="RQC170" s="1360"/>
      <c r="RQD170" s="1360"/>
      <c r="RQE170" s="1360"/>
      <c r="RQF170" s="1362"/>
      <c r="RQG170" s="955"/>
      <c r="RQH170" s="963"/>
      <c r="RQI170" s="2242"/>
      <c r="RQJ170" s="1360"/>
      <c r="RQK170" s="1360"/>
      <c r="RQL170" s="1360"/>
      <c r="RQM170" s="1360"/>
      <c r="RQN170" s="1362"/>
      <c r="RQO170" s="955"/>
      <c r="RQP170" s="963"/>
      <c r="RQQ170" s="2242"/>
      <c r="RQR170" s="1360"/>
      <c r="RQS170" s="1360"/>
      <c r="RQT170" s="1360"/>
      <c r="RQU170" s="1360"/>
      <c r="RQV170" s="1362"/>
      <c r="RQW170" s="955"/>
      <c r="RQX170" s="963"/>
      <c r="RQY170" s="2242"/>
      <c r="RQZ170" s="1360"/>
      <c r="RRA170" s="1360"/>
      <c r="RRB170" s="1360"/>
      <c r="RRC170" s="1360"/>
      <c r="RRD170" s="1362"/>
      <c r="RRE170" s="955"/>
      <c r="RRF170" s="963"/>
      <c r="RRG170" s="2242"/>
      <c r="RRH170" s="1360"/>
      <c r="RRI170" s="1360"/>
      <c r="RRJ170" s="1360"/>
      <c r="RRK170" s="1360"/>
      <c r="RRL170" s="1362"/>
      <c r="RRM170" s="955"/>
      <c r="RRN170" s="963"/>
      <c r="RRO170" s="2242"/>
      <c r="RRP170" s="1360"/>
      <c r="RRQ170" s="1360"/>
      <c r="RRR170" s="1360"/>
      <c r="RRS170" s="1360"/>
      <c r="RRT170" s="1362"/>
      <c r="RRU170" s="955"/>
      <c r="RRV170" s="963"/>
      <c r="RRW170" s="2242"/>
      <c r="RRX170" s="1360"/>
      <c r="RRY170" s="1360"/>
      <c r="RRZ170" s="1360"/>
      <c r="RSA170" s="1360"/>
      <c r="RSB170" s="1362"/>
      <c r="RSC170" s="955"/>
      <c r="RSD170" s="963"/>
      <c r="RSE170" s="2242"/>
      <c r="RSF170" s="1360"/>
      <c r="RSG170" s="1360"/>
      <c r="RSH170" s="1360"/>
      <c r="RSI170" s="1360"/>
      <c r="RSJ170" s="1362"/>
      <c r="RSK170" s="955"/>
      <c r="RSL170" s="963"/>
      <c r="RSM170" s="2242"/>
      <c r="RSN170" s="1360"/>
      <c r="RSO170" s="1360"/>
      <c r="RSP170" s="1360"/>
      <c r="RSQ170" s="1360"/>
      <c r="RSR170" s="1362"/>
      <c r="RSS170" s="955"/>
      <c r="RST170" s="963"/>
      <c r="RSU170" s="2242"/>
      <c r="RSV170" s="1360"/>
      <c r="RSW170" s="1360"/>
      <c r="RSX170" s="1360"/>
      <c r="RSY170" s="1360"/>
      <c r="RSZ170" s="1362"/>
      <c r="RTA170" s="955"/>
      <c r="RTB170" s="963"/>
      <c r="RTC170" s="2242"/>
      <c r="RTD170" s="1360"/>
      <c r="RTE170" s="1360"/>
      <c r="RTF170" s="1360"/>
      <c r="RTG170" s="1360"/>
      <c r="RTH170" s="1362"/>
      <c r="RTI170" s="955"/>
      <c r="RTJ170" s="963"/>
      <c r="RTK170" s="2242"/>
      <c r="RTL170" s="1360"/>
      <c r="RTM170" s="1360"/>
      <c r="RTN170" s="1360"/>
      <c r="RTO170" s="1360"/>
      <c r="RTP170" s="1362"/>
      <c r="RTQ170" s="955"/>
      <c r="RTR170" s="963"/>
      <c r="RTS170" s="2242"/>
      <c r="RTT170" s="1360"/>
      <c r="RTU170" s="1360"/>
      <c r="RTV170" s="1360"/>
      <c r="RTW170" s="1360"/>
      <c r="RTX170" s="1362"/>
      <c r="RTY170" s="955"/>
      <c r="RTZ170" s="963"/>
      <c r="RUA170" s="2242"/>
      <c r="RUB170" s="1360"/>
      <c r="RUC170" s="1360"/>
      <c r="RUD170" s="1360"/>
      <c r="RUE170" s="1360"/>
      <c r="RUF170" s="1362"/>
      <c r="RUG170" s="955"/>
      <c r="RUH170" s="963"/>
      <c r="RUI170" s="2242"/>
      <c r="RUJ170" s="1360"/>
      <c r="RUK170" s="1360"/>
      <c r="RUL170" s="1360"/>
      <c r="RUM170" s="1360"/>
      <c r="RUN170" s="1362"/>
      <c r="RUO170" s="955"/>
      <c r="RUP170" s="963"/>
      <c r="RUQ170" s="2242"/>
      <c r="RUR170" s="1360"/>
      <c r="RUS170" s="1360"/>
      <c r="RUT170" s="1360"/>
      <c r="RUU170" s="1360"/>
      <c r="RUV170" s="1362"/>
      <c r="RUW170" s="955"/>
      <c r="RUX170" s="963"/>
      <c r="RUY170" s="2242"/>
      <c r="RUZ170" s="1360"/>
      <c r="RVA170" s="1360"/>
      <c r="RVB170" s="1360"/>
      <c r="RVC170" s="1360"/>
      <c r="RVD170" s="1362"/>
      <c r="RVE170" s="955"/>
      <c r="RVF170" s="963"/>
      <c r="RVG170" s="2242"/>
      <c r="RVH170" s="1360"/>
      <c r="RVI170" s="1360"/>
      <c r="RVJ170" s="1360"/>
      <c r="RVK170" s="1360"/>
      <c r="RVL170" s="1362"/>
      <c r="RVM170" s="955"/>
      <c r="RVN170" s="963"/>
      <c r="RVO170" s="2242"/>
      <c r="RVP170" s="1360"/>
      <c r="RVQ170" s="1360"/>
      <c r="RVR170" s="1360"/>
      <c r="RVS170" s="1360"/>
      <c r="RVT170" s="1362"/>
      <c r="RVU170" s="955"/>
      <c r="RVV170" s="963"/>
      <c r="RVW170" s="2242"/>
      <c r="RVX170" s="1360"/>
      <c r="RVY170" s="1360"/>
      <c r="RVZ170" s="1360"/>
      <c r="RWA170" s="1360"/>
      <c r="RWB170" s="1362"/>
      <c r="RWC170" s="955"/>
      <c r="RWD170" s="963"/>
      <c r="RWE170" s="2242"/>
      <c r="RWF170" s="1360"/>
      <c r="RWG170" s="1360"/>
      <c r="RWH170" s="1360"/>
      <c r="RWI170" s="1360"/>
      <c r="RWJ170" s="1362"/>
      <c r="RWK170" s="955"/>
      <c r="RWL170" s="963"/>
      <c r="RWM170" s="2242"/>
      <c r="RWN170" s="1360"/>
      <c r="RWO170" s="1360"/>
      <c r="RWP170" s="1360"/>
      <c r="RWQ170" s="1360"/>
      <c r="RWR170" s="1362"/>
      <c r="RWS170" s="955"/>
      <c r="RWT170" s="963"/>
      <c r="RWU170" s="2242"/>
      <c r="RWV170" s="1360"/>
      <c r="RWW170" s="1360"/>
      <c r="RWX170" s="1360"/>
      <c r="RWY170" s="1360"/>
      <c r="RWZ170" s="1362"/>
      <c r="RXA170" s="955"/>
      <c r="RXB170" s="963"/>
      <c r="RXC170" s="2242"/>
      <c r="RXD170" s="1360"/>
      <c r="RXE170" s="1360"/>
      <c r="RXF170" s="1360"/>
      <c r="RXG170" s="1360"/>
      <c r="RXH170" s="1362"/>
      <c r="RXI170" s="955"/>
      <c r="RXJ170" s="963"/>
      <c r="RXK170" s="2242"/>
      <c r="RXL170" s="1360"/>
      <c r="RXM170" s="1360"/>
      <c r="RXN170" s="1360"/>
      <c r="RXO170" s="1360"/>
      <c r="RXP170" s="1362"/>
      <c r="RXQ170" s="955"/>
      <c r="RXR170" s="963"/>
      <c r="RXS170" s="2242"/>
      <c r="RXT170" s="1360"/>
      <c r="RXU170" s="1360"/>
      <c r="RXV170" s="1360"/>
      <c r="RXW170" s="1360"/>
      <c r="RXX170" s="1362"/>
      <c r="RXY170" s="955"/>
      <c r="RXZ170" s="963"/>
      <c r="RYA170" s="2242"/>
      <c r="RYB170" s="1360"/>
      <c r="RYC170" s="1360"/>
      <c r="RYD170" s="1360"/>
      <c r="RYE170" s="1360"/>
      <c r="RYF170" s="1362"/>
      <c r="RYG170" s="955"/>
      <c r="RYH170" s="963"/>
      <c r="RYI170" s="2242"/>
      <c r="RYJ170" s="1360"/>
      <c r="RYK170" s="1360"/>
      <c r="RYL170" s="1360"/>
      <c r="RYM170" s="1360"/>
      <c r="RYN170" s="1362"/>
      <c r="RYO170" s="955"/>
      <c r="RYP170" s="963"/>
      <c r="RYQ170" s="2242"/>
      <c r="RYR170" s="1360"/>
      <c r="RYS170" s="1360"/>
      <c r="RYT170" s="1360"/>
      <c r="RYU170" s="1360"/>
      <c r="RYV170" s="1362"/>
      <c r="RYW170" s="955"/>
      <c r="RYX170" s="963"/>
      <c r="RYY170" s="2242"/>
      <c r="RYZ170" s="1360"/>
      <c r="RZA170" s="1360"/>
      <c r="RZB170" s="1360"/>
      <c r="RZC170" s="1360"/>
      <c r="RZD170" s="1362"/>
      <c r="RZE170" s="955"/>
      <c r="RZF170" s="963"/>
      <c r="RZG170" s="2242"/>
      <c r="RZH170" s="1360"/>
      <c r="RZI170" s="1360"/>
      <c r="RZJ170" s="1360"/>
      <c r="RZK170" s="1360"/>
      <c r="RZL170" s="1362"/>
      <c r="RZM170" s="955"/>
      <c r="RZN170" s="963"/>
      <c r="RZO170" s="2242"/>
      <c r="RZP170" s="1360"/>
      <c r="RZQ170" s="1360"/>
      <c r="RZR170" s="1360"/>
      <c r="RZS170" s="1360"/>
      <c r="RZT170" s="1362"/>
      <c r="RZU170" s="955"/>
      <c r="RZV170" s="963"/>
      <c r="RZW170" s="2242"/>
      <c r="RZX170" s="1360"/>
      <c r="RZY170" s="1360"/>
      <c r="RZZ170" s="1360"/>
      <c r="SAA170" s="1360"/>
      <c r="SAB170" s="1362"/>
      <c r="SAC170" s="955"/>
      <c r="SAD170" s="963"/>
      <c r="SAE170" s="2242"/>
      <c r="SAF170" s="1360"/>
      <c r="SAG170" s="1360"/>
      <c r="SAH170" s="1360"/>
      <c r="SAI170" s="1360"/>
      <c r="SAJ170" s="1362"/>
      <c r="SAK170" s="955"/>
      <c r="SAL170" s="963"/>
      <c r="SAM170" s="2242"/>
      <c r="SAN170" s="1360"/>
      <c r="SAO170" s="1360"/>
      <c r="SAP170" s="1360"/>
      <c r="SAQ170" s="1360"/>
      <c r="SAR170" s="1362"/>
      <c r="SAS170" s="955"/>
      <c r="SAT170" s="963"/>
      <c r="SAU170" s="2242"/>
      <c r="SAV170" s="1360"/>
      <c r="SAW170" s="1360"/>
      <c r="SAX170" s="1360"/>
      <c r="SAY170" s="1360"/>
      <c r="SAZ170" s="1362"/>
      <c r="SBA170" s="955"/>
      <c r="SBB170" s="963"/>
      <c r="SBC170" s="2242"/>
      <c r="SBD170" s="1360"/>
      <c r="SBE170" s="1360"/>
      <c r="SBF170" s="1360"/>
      <c r="SBG170" s="1360"/>
      <c r="SBH170" s="1362"/>
      <c r="SBI170" s="955"/>
      <c r="SBJ170" s="963"/>
      <c r="SBK170" s="2242"/>
      <c r="SBL170" s="1360"/>
      <c r="SBM170" s="1360"/>
      <c r="SBN170" s="1360"/>
      <c r="SBO170" s="1360"/>
      <c r="SBP170" s="1362"/>
      <c r="SBQ170" s="955"/>
      <c r="SBR170" s="963"/>
      <c r="SBS170" s="2242"/>
      <c r="SBT170" s="1360"/>
      <c r="SBU170" s="1360"/>
      <c r="SBV170" s="1360"/>
      <c r="SBW170" s="1360"/>
      <c r="SBX170" s="1362"/>
      <c r="SBY170" s="955"/>
      <c r="SBZ170" s="963"/>
      <c r="SCA170" s="2242"/>
      <c r="SCB170" s="1360"/>
      <c r="SCC170" s="1360"/>
      <c r="SCD170" s="1360"/>
      <c r="SCE170" s="1360"/>
      <c r="SCF170" s="1362"/>
      <c r="SCG170" s="955"/>
      <c r="SCH170" s="963"/>
      <c r="SCI170" s="2242"/>
      <c r="SCJ170" s="1360"/>
      <c r="SCK170" s="1360"/>
      <c r="SCL170" s="1360"/>
      <c r="SCM170" s="1360"/>
      <c r="SCN170" s="1362"/>
      <c r="SCO170" s="955"/>
      <c r="SCP170" s="963"/>
      <c r="SCQ170" s="2242"/>
      <c r="SCR170" s="1360"/>
      <c r="SCS170" s="1360"/>
      <c r="SCT170" s="1360"/>
      <c r="SCU170" s="1360"/>
      <c r="SCV170" s="1362"/>
      <c r="SCW170" s="955"/>
      <c r="SCX170" s="963"/>
      <c r="SCY170" s="2242"/>
      <c r="SCZ170" s="1360"/>
      <c r="SDA170" s="1360"/>
      <c r="SDB170" s="1360"/>
      <c r="SDC170" s="1360"/>
      <c r="SDD170" s="1362"/>
      <c r="SDE170" s="955"/>
      <c r="SDF170" s="963"/>
      <c r="SDG170" s="2242"/>
      <c r="SDH170" s="1360"/>
      <c r="SDI170" s="1360"/>
      <c r="SDJ170" s="1360"/>
      <c r="SDK170" s="1360"/>
      <c r="SDL170" s="1362"/>
      <c r="SDM170" s="955"/>
      <c r="SDN170" s="963"/>
      <c r="SDO170" s="2242"/>
      <c r="SDP170" s="1360"/>
      <c r="SDQ170" s="1360"/>
      <c r="SDR170" s="1360"/>
      <c r="SDS170" s="1360"/>
      <c r="SDT170" s="1362"/>
      <c r="SDU170" s="955"/>
      <c r="SDV170" s="963"/>
      <c r="SDW170" s="2242"/>
      <c r="SDX170" s="1360"/>
      <c r="SDY170" s="1360"/>
      <c r="SDZ170" s="1360"/>
      <c r="SEA170" s="1360"/>
      <c r="SEB170" s="1362"/>
      <c r="SEC170" s="955"/>
      <c r="SED170" s="963"/>
      <c r="SEE170" s="2242"/>
      <c r="SEF170" s="1360"/>
      <c r="SEG170" s="1360"/>
      <c r="SEH170" s="1360"/>
      <c r="SEI170" s="1360"/>
      <c r="SEJ170" s="1362"/>
      <c r="SEK170" s="955"/>
      <c r="SEL170" s="963"/>
      <c r="SEM170" s="2242"/>
      <c r="SEN170" s="1360"/>
      <c r="SEO170" s="1360"/>
      <c r="SEP170" s="1360"/>
      <c r="SEQ170" s="1360"/>
      <c r="SER170" s="1362"/>
      <c r="SES170" s="955"/>
      <c r="SET170" s="963"/>
      <c r="SEU170" s="2242"/>
      <c r="SEV170" s="1360"/>
      <c r="SEW170" s="1360"/>
      <c r="SEX170" s="1360"/>
      <c r="SEY170" s="1360"/>
      <c r="SEZ170" s="1362"/>
      <c r="SFA170" s="955"/>
      <c r="SFB170" s="963"/>
      <c r="SFC170" s="2242"/>
      <c r="SFD170" s="1360"/>
      <c r="SFE170" s="1360"/>
      <c r="SFF170" s="1360"/>
      <c r="SFG170" s="1360"/>
      <c r="SFH170" s="1362"/>
      <c r="SFI170" s="955"/>
      <c r="SFJ170" s="963"/>
      <c r="SFK170" s="2242"/>
      <c r="SFL170" s="1360"/>
      <c r="SFM170" s="1360"/>
      <c r="SFN170" s="1360"/>
      <c r="SFO170" s="1360"/>
      <c r="SFP170" s="1362"/>
      <c r="SFQ170" s="955"/>
      <c r="SFR170" s="963"/>
      <c r="SFS170" s="2242"/>
      <c r="SFT170" s="1360"/>
      <c r="SFU170" s="1360"/>
      <c r="SFV170" s="1360"/>
      <c r="SFW170" s="1360"/>
      <c r="SFX170" s="1362"/>
      <c r="SFY170" s="955"/>
      <c r="SFZ170" s="963"/>
      <c r="SGA170" s="2242"/>
      <c r="SGB170" s="1360"/>
      <c r="SGC170" s="1360"/>
      <c r="SGD170" s="1360"/>
      <c r="SGE170" s="1360"/>
      <c r="SGF170" s="1362"/>
      <c r="SGG170" s="955"/>
      <c r="SGH170" s="963"/>
      <c r="SGI170" s="2242"/>
      <c r="SGJ170" s="1360"/>
      <c r="SGK170" s="1360"/>
      <c r="SGL170" s="1360"/>
      <c r="SGM170" s="1360"/>
      <c r="SGN170" s="1362"/>
      <c r="SGO170" s="955"/>
      <c r="SGP170" s="963"/>
      <c r="SGQ170" s="2242"/>
      <c r="SGR170" s="1360"/>
      <c r="SGS170" s="1360"/>
      <c r="SGT170" s="1360"/>
      <c r="SGU170" s="1360"/>
      <c r="SGV170" s="1362"/>
      <c r="SGW170" s="955"/>
      <c r="SGX170" s="963"/>
      <c r="SGY170" s="2242"/>
      <c r="SGZ170" s="1360"/>
      <c r="SHA170" s="1360"/>
      <c r="SHB170" s="1360"/>
      <c r="SHC170" s="1360"/>
      <c r="SHD170" s="1362"/>
      <c r="SHE170" s="955"/>
      <c r="SHF170" s="963"/>
      <c r="SHG170" s="2242"/>
      <c r="SHH170" s="1360"/>
      <c r="SHI170" s="1360"/>
      <c r="SHJ170" s="1360"/>
      <c r="SHK170" s="1360"/>
      <c r="SHL170" s="1362"/>
      <c r="SHM170" s="955"/>
      <c r="SHN170" s="963"/>
      <c r="SHO170" s="2242"/>
      <c r="SHP170" s="1360"/>
      <c r="SHQ170" s="1360"/>
      <c r="SHR170" s="1360"/>
      <c r="SHS170" s="1360"/>
      <c r="SHT170" s="1362"/>
      <c r="SHU170" s="955"/>
      <c r="SHV170" s="963"/>
      <c r="SHW170" s="2242"/>
      <c r="SHX170" s="1360"/>
      <c r="SHY170" s="1360"/>
      <c r="SHZ170" s="1360"/>
      <c r="SIA170" s="1360"/>
      <c r="SIB170" s="1362"/>
      <c r="SIC170" s="955"/>
      <c r="SID170" s="963"/>
      <c r="SIE170" s="2242"/>
      <c r="SIF170" s="1360"/>
      <c r="SIG170" s="1360"/>
      <c r="SIH170" s="1360"/>
      <c r="SII170" s="1360"/>
      <c r="SIJ170" s="1362"/>
      <c r="SIK170" s="955"/>
      <c r="SIL170" s="963"/>
      <c r="SIM170" s="2242"/>
      <c r="SIN170" s="1360"/>
      <c r="SIO170" s="1360"/>
      <c r="SIP170" s="1360"/>
      <c r="SIQ170" s="1360"/>
      <c r="SIR170" s="1362"/>
      <c r="SIS170" s="955"/>
      <c r="SIT170" s="963"/>
      <c r="SIU170" s="2242"/>
      <c r="SIV170" s="1360"/>
      <c r="SIW170" s="1360"/>
      <c r="SIX170" s="1360"/>
      <c r="SIY170" s="1360"/>
      <c r="SIZ170" s="1362"/>
      <c r="SJA170" s="955"/>
      <c r="SJB170" s="963"/>
      <c r="SJC170" s="2242"/>
      <c r="SJD170" s="1360"/>
      <c r="SJE170" s="1360"/>
      <c r="SJF170" s="1360"/>
      <c r="SJG170" s="1360"/>
      <c r="SJH170" s="1362"/>
      <c r="SJI170" s="955"/>
      <c r="SJJ170" s="963"/>
      <c r="SJK170" s="2242"/>
      <c r="SJL170" s="1360"/>
      <c r="SJM170" s="1360"/>
      <c r="SJN170" s="1360"/>
      <c r="SJO170" s="1360"/>
      <c r="SJP170" s="1362"/>
      <c r="SJQ170" s="955"/>
      <c r="SJR170" s="963"/>
      <c r="SJS170" s="2242"/>
      <c r="SJT170" s="1360"/>
      <c r="SJU170" s="1360"/>
      <c r="SJV170" s="1360"/>
      <c r="SJW170" s="1360"/>
      <c r="SJX170" s="1362"/>
      <c r="SJY170" s="955"/>
      <c r="SJZ170" s="963"/>
      <c r="SKA170" s="2242"/>
      <c r="SKB170" s="1360"/>
      <c r="SKC170" s="1360"/>
      <c r="SKD170" s="1360"/>
      <c r="SKE170" s="1360"/>
      <c r="SKF170" s="1362"/>
      <c r="SKG170" s="955"/>
      <c r="SKH170" s="963"/>
      <c r="SKI170" s="2242"/>
      <c r="SKJ170" s="1360"/>
      <c r="SKK170" s="1360"/>
      <c r="SKL170" s="1360"/>
      <c r="SKM170" s="1360"/>
      <c r="SKN170" s="1362"/>
      <c r="SKO170" s="955"/>
      <c r="SKP170" s="963"/>
      <c r="SKQ170" s="2242"/>
      <c r="SKR170" s="1360"/>
      <c r="SKS170" s="1360"/>
      <c r="SKT170" s="1360"/>
      <c r="SKU170" s="1360"/>
      <c r="SKV170" s="1362"/>
      <c r="SKW170" s="955"/>
      <c r="SKX170" s="963"/>
      <c r="SKY170" s="2242"/>
      <c r="SKZ170" s="1360"/>
      <c r="SLA170" s="1360"/>
      <c r="SLB170" s="1360"/>
      <c r="SLC170" s="1360"/>
      <c r="SLD170" s="1362"/>
      <c r="SLE170" s="955"/>
      <c r="SLF170" s="963"/>
      <c r="SLG170" s="2242"/>
      <c r="SLH170" s="1360"/>
      <c r="SLI170" s="1360"/>
      <c r="SLJ170" s="1360"/>
      <c r="SLK170" s="1360"/>
      <c r="SLL170" s="1362"/>
      <c r="SLM170" s="955"/>
      <c r="SLN170" s="963"/>
      <c r="SLO170" s="2242"/>
      <c r="SLP170" s="1360"/>
      <c r="SLQ170" s="1360"/>
      <c r="SLR170" s="1360"/>
      <c r="SLS170" s="1360"/>
      <c r="SLT170" s="1362"/>
      <c r="SLU170" s="955"/>
      <c r="SLV170" s="963"/>
      <c r="SLW170" s="2242"/>
      <c r="SLX170" s="1360"/>
      <c r="SLY170" s="1360"/>
      <c r="SLZ170" s="1360"/>
      <c r="SMA170" s="1360"/>
      <c r="SMB170" s="1362"/>
      <c r="SMC170" s="955"/>
      <c r="SMD170" s="963"/>
      <c r="SME170" s="2242"/>
      <c r="SMF170" s="1360"/>
      <c r="SMG170" s="1360"/>
      <c r="SMH170" s="1360"/>
      <c r="SMI170" s="1360"/>
      <c r="SMJ170" s="1362"/>
      <c r="SMK170" s="955"/>
      <c r="SML170" s="963"/>
      <c r="SMM170" s="2242"/>
      <c r="SMN170" s="1360"/>
      <c r="SMO170" s="1360"/>
      <c r="SMP170" s="1360"/>
      <c r="SMQ170" s="1360"/>
      <c r="SMR170" s="1362"/>
      <c r="SMS170" s="955"/>
      <c r="SMT170" s="963"/>
      <c r="SMU170" s="2242"/>
      <c r="SMV170" s="1360"/>
      <c r="SMW170" s="1360"/>
      <c r="SMX170" s="1360"/>
      <c r="SMY170" s="1360"/>
      <c r="SMZ170" s="1362"/>
      <c r="SNA170" s="955"/>
      <c r="SNB170" s="963"/>
      <c r="SNC170" s="2242"/>
      <c r="SND170" s="1360"/>
      <c r="SNE170" s="1360"/>
      <c r="SNF170" s="1360"/>
      <c r="SNG170" s="1360"/>
      <c r="SNH170" s="1362"/>
      <c r="SNI170" s="955"/>
      <c r="SNJ170" s="963"/>
      <c r="SNK170" s="2242"/>
      <c r="SNL170" s="1360"/>
      <c r="SNM170" s="1360"/>
      <c r="SNN170" s="1360"/>
      <c r="SNO170" s="1360"/>
      <c r="SNP170" s="1362"/>
      <c r="SNQ170" s="955"/>
      <c r="SNR170" s="963"/>
      <c r="SNS170" s="2242"/>
      <c r="SNT170" s="1360"/>
      <c r="SNU170" s="1360"/>
      <c r="SNV170" s="1360"/>
      <c r="SNW170" s="1360"/>
      <c r="SNX170" s="1362"/>
      <c r="SNY170" s="955"/>
      <c r="SNZ170" s="963"/>
      <c r="SOA170" s="2242"/>
      <c r="SOB170" s="1360"/>
      <c r="SOC170" s="1360"/>
      <c r="SOD170" s="1360"/>
      <c r="SOE170" s="1360"/>
      <c r="SOF170" s="1362"/>
      <c r="SOG170" s="955"/>
      <c r="SOH170" s="963"/>
      <c r="SOI170" s="2242"/>
      <c r="SOJ170" s="1360"/>
      <c r="SOK170" s="1360"/>
      <c r="SOL170" s="1360"/>
      <c r="SOM170" s="1360"/>
      <c r="SON170" s="1362"/>
      <c r="SOO170" s="955"/>
      <c r="SOP170" s="963"/>
      <c r="SOQ170" s="2242"/>
      <c r="SOR170" s="1360"/>
      <c r="SOS170" s="1360"/>
      <c r="SOT170" s="1360"/>
      <c r="SOU170" s="1360"/>
      <c r="SOV170" s="1362"/>
      <c r="SOW170" s="955"/>
      <c r="SOX170" s="963"/>
      <c r="SOY170" s="2242"/>
      <c r="SOZ170" s="1360"/>
      <c r="SPA170" s="1360"/>
      <c r="SPB170" s="1360"/>
      <c r="SPC170" s="1360"/>
      <c r="SPD170" s="1362"/>
      <c r="SPE170" s="955"/>
      <c r="SPF170" s="963"/>
      <c r="SPG170" s="2242"/>
      <c r="SPH170" s="1360"/>
      <c r="SPI170" s="1360"/>
      <c r="SPJ170" s="1360"/>
      <c r="SPK170" s="1360"/>
      <c r="SPL170" s="1362"/>
      <c r="SPM170" s="955"/>
      <c r="SPN170" s="963"/>
      <c r="SPO170" s="2242"/>
      <c r="SPP170" s="1360"/>
      <c r="SPQ170" s="1360"/>
      <c r="SPR170" s="1360"/>
      <c r="SPS170" s="1360"/>
      <c r="SPT170" s="1362"/>
      <c r="SPU170" s="955"/>
      <c r="SPV170" s="963"/>
      <c r="SPW170" s="2242"/>
      <c r="SPX170" s="1360"/>
      <c r="SPY170" s="1360"/>
      <c r="SPZ170" s="1360"/>
      <c r="SQA170" s="1360"/>
      <c r="SQB170" s="1362"/>
      <c r="SQC170" s="955"/>
      <c r="SQD170" s="963"/>
      <c r="SQE170" s="2242"/>
      <c r="SQF170" s="1360"/>
      <c r="SQG170" s="1360"/>
      <c r="SQH170" s="1360"/>
      <c r="SQI170" s="1360"/>
      <c r="SQJ170" s="1362"/>
      <c r="SQK170" s="955"/>
      <c r="SQL170" s="963"/>
      <c r="SQM170" s="2242"/>
      <c r="SQN170" s="1360"/>
      <c r="SQO170" s="1360"/>
      <c r="SQP170" s="1360"/>
      <c r="SQQ170" s="1360"/>
      <c r="SQR170" s="1362"/>
      <c r="SQS170" s="955"/>
      <c r="SQT170" s="963"/>
      <c r="SQU170" s="2242"/>
      <c r="SQV170" s="1360"/>
      <c r="SQW170" s="1360"/>
      <c r="SQX170" s="1360"/>
      <c r="SQY170" s="1360"/>
      <c r="SQZ170" s="1362"/>
      <c r="SRA170" s="955"/>
      <c r="SRB170" s="963"/>
      <c r="SRC170" s="2242"/>
      <c r="SRD170" s="1360"/>
      <c r="SRE170" s="1360"/>
      <c r="SRF170" s="1360"/>
      <c r="SRG170" s="1360"/>
      <c r="SRH170" s="1362"/>
      <c r="SRI170" s="955"/>
      <c r="SRJ170" s="963"/>
      <c r="SRK170" s="2242"/>
      <c r="SRL170" s="1360"/>
      <c r="SRM170" s="1360"/>
      <c r="SRN170" s="1360"/>
      <c r="SRO170" s="1360"/>
      <c r="SRP170" s="1362"/>
      <c r="SRQ170" s="955"/>
      <c r="SRR170" s="963"/>
      <c r="SRS170" s="2242"/>
      <c r="SRT170" s="1360"/>
      <c r="SRU170" s="1360"/>
      <c r="SRV170" s="1360"/>
      <c r="SRW170" s="1360"/>
      <c r="SRX170" s="1362"/>
      <c r="SRY170" s="955"/>
      <c r="SRZ170" s="963"/>
      <c r="SSA170" s="2242"/>
      <c r="SSB170" s="1360"/>
      <c r="SSC170" s="1360"/>
      <c r="SSD170" s="1360"/>
      <c r="SSE170" s="1360"/>
      <c r="SSF170" s="1362"/>
      <c r="SSG170" s="955"/>
      <c r="SSH170" s="963"/>
      <c r="SSI170" s="2242"/>
      <c r="SSJ170" s="1360"/>
      <c r="SSK170" s="1360"/>
      <c r="SSL170" s="1360"/>
      <c r="SSM170" s="1360"/>
      <c r="SSN170" s="1362"/>
      <c r="SSO170" s="955"/>
      <c r="SSP170" s="963"/>
      <c r="SSQ170" s="2242"/>
      <c r="SSR170" s="1360"/>
      <c r="SSS170" s="1360"/>
      <c r="SST170" s="1360"/>
      <c r="SSU170" s="1360"/>
      <c r="SSV170" s="1362"/>
      <c r="SSW170" s="955"/>
      <c r="SSX170" s="963"/>
      <c r="SSY170" s="2242"/>
      <c r="SSZ170" s="1360"/>
      <c r="STA170" s="1360"/>
      <c r="STB170" s="1360"/>
      <c r="STC170" s="1360"/>
      <c r="STD170" s="1362"/>
      <c r="STE170" s="955"/>
      <c r="STF170" s="963"/>
      <c r="STG170" s="2242"/>
      <c r="STH170" s="1360"/>
      <c r="STI170" s="1360"/>
      <c r="STJ170" s="1360"/>
      <c r="STK170" s="1360"/>
      <c r="STL170" s="1362"/>
      <c r="STM170" s="955"/>
      <c r="STN170" s="963"/>
      <c r="STO170" s="2242"/>
      <c r="STP170" s="1360"/>
      <c r="STQ170" s="1360"/>
      <c r="STR170" s="1360"/>
      <c r="STS170" s="1360"/>
      <c r="STT170" s="1362"/>
      <c r="STU170" s="955"/>
      <c r="STV170" s="963"/>
      <c r="STW170" s="2242"/>
      <c r="STX170" s="1360"/>
      <c r="STY170" s="1360"/>
      <c r="STZ170" s="1360"/>
      <c r="SUA170" s="1360"/>
      <c r="SUB170" s="1362"/>
      <c r="SUC170" s="955"/>
      <c r="SUD170" s="963"/>
      <c r="SUE170" s="2242"/>
      <c r="SUF170" s="1360"/>
      <c r="SUG170" s="1360"/>
      <c r="SUH170" s="1360"/>
      <c r="SUI170" s="1360"/>
      <c r="SUJ170" s="1362"/>
      <c r="SUK170" s="955"/>
      <c r="SUL170" s="963"/>
      <c r="SUM170" s="2242"/>
      <c r="SUN170" s="1360"/>
      <c r="SUO170" s="1360"/>
      <c r="SUP170" s="1360"/>
      <c r="SUQ170" s="1360"/>
      <c r="SUR170" s="1362"/>
      <c r="SUS170" s="955"/>
      <c r="SUT170" s="963"/>
      <c r="SUU170" s="2242"/>
      <c r="SUV170" s="1360"/>
      <c r="SUW170" s="1360"/>
      <c r="SUX170" s="1360"/>
      <c r="SUY170" s="1360"/>
      <c r="SUZ170" s="1362"/>
      <c r="SVA170" s="955"/>
      <c r="SVB170" s="963"/>
      <c r="SVC170" s="2242"/>
      <c r="SVD170" s="1360"/>
      <c r="SVE170" s="1360"/>
      <c r="SVF170" s="1360"/>
      <c r="SVG170" s="1360"/>
      <c r="SVH170" s="1362"/>
      <c r="SVI170" s="955"/>
      <c r="SVJ170" s="963"/>
      <c r="SVK170" s="2242"/>
      <c r="SVL170" s="1360"/>
      <c r="SVM170" s="1360"/>
      <c r="SVN170" s="1360"/>
      <c r="SVO170" s="1360"/>
      <c r="SVP170" s="1362"/>
      <c r="SVQ170" s="955"/>
      <c r="SVR170" s="963"/>
      <c r="SVS170" s="2242"/>
      <c r="SVT170" s="1360"/>
      <c r="SVU170" s="1360"/>
      <c r="SVV170" s="1360"/>
      <c r="SVW170" s="1360"/>
      <c r="SVX170" s="1362"/>
      <c r="SVY170" s="955"/>
      <c r="SVZ170" s="963"/>
      <c r="SWA170" s="2242"/>
      <c r="SWB170" s="1360"/>
      <c r="SWC170" s="1360"/>
      <c r="SWD170" s="1360"/>
      <c r="SWE170" s="1360"/>
      <c r="SWF170" s="1362"/>
      <c r="SWG170" s="955"/>
      <c r="SWH170" s="963"/>
      <c r="SWI170" s="2242"/>
      <c r="SWJ170" s="1360"/>
      <c r="SWK170" s="1360"/>
      <c r="SWL170" s="1360"/>
      <c r="SWM170" s="1360"/>
      <c r="SWN170" s="1362"/>
      <c r="SWO170" s="955"/>
      <c r="SWP170" s="963"/>
      <c r="SWQ170" s="2242"/>
      <c r="SWR170" s="1360"/>
      <c r="SWS170" s="1360"/>
      <c r="SWT170" s="1360"/>
      <c r="SWU170" s="1360"/>
      <c r="SWV170" s="1362"/>
      <c r="SWW170" s="955"/>
      <c r="SWX170" s="963"/>
      <c r="SWY170" s="2242"/>
      <c r="SWZ170" s="1360"/>
      <c r="SXA170" s="1360"/>
      <c r="SXB170" s="1360"/>
      <c r="SXC170" s="1360"/>
      <c r="SXD170" s="1362"/>
      <c r="SXE170" s="955"/>
      <c r="SXF170" s="963"/>
      <c r="SXG170" s="2242"/>
      <c r="SXH170" s="1360"/>
      <c r="SXI170" s="1360"/>
      <c r="SXJ170" s="1360"/>
      <c r="SXK170" s="1360"/>
      <c r="SXL170" s="1362"/>
      <c r="SXM170" s="955"/>
      <c r="SXN170" s="963"/>
      <c r="SXO170" s="2242"/>
      <c r="SXP170" s="1360"/>
      <c r="SXQ170" s="1360"/>
      <c r="SXR170" s="1360"/>
      <c r="SXS170" s="1360"/>
      <c r="SXT170" s="1362"/>
      <c r="SXU170" s="955"/>
      <c r="SXV170" s="963"/>
      <c r="SXW170" s="2242"/>
      <c r="SXX170" s="1360"/>
      <c r="SXY170" s="1360"/>
      <c r="SXZ170" s="1360"/>
      <c r="SYA170" s="1360"/>
      <c r="SYB170" s="1362"/>
      <c r="SYC170" s="955"/>
      <c r="SYD170" s="963"/>
      <c r="SYE170" s="2242"/>
      <c r="SYF170" s="1360"/>
      <c r="SYG170" s="1360"/>
      <c r="SYH170" s="1360"/>
      <c r="SYI170" s="1360"/>
      <c r="SYJ170" s="1362"/>
      <c r="SYK170" s="955"/>
      <c r="SYL170" s="963"/>
      <c r="SYM170" s="2242"/>
      <c r="SYN170" s="1360"/>
      <c r="SYO170" s="1360"/>
      <c r="SYP170" s="1360"/>
      <c r="SYQ170" s="1360"/>
      <c r="SYR170" s="1362"/>
      <c r="SYS170" s="955"/>
      <c r="SYT170" s="963"/>
      <c r="SYU170" s="2242"/>
      <c r="SYV170" s="1360"/>
      <c r="SYW170" s="1360"/>
      <c r="SYX170" s="1360"/>
      <c r="SYY170" s="1360"/>
      <c r="SYZ170" s="1362"/>
      <c r="SZA170" s="955"/>
      <c r="SZB170" s="963"/>
      <c r="SZC170" s="2242"/>
      <c r="SZD170" s="1360"/>
      <c r="SZE170" s="1360"/>
      <c r="SZF170" s="1360"/>
      <c r="SZG170" s="1360"/>
      <c r="SZH170" s="1362"/>
      <c r="SZI170" s="955"/>
      <c r="SZJ170" s="963"/>
      <c r="SZK170" s="2242"/>
      <c r="SZL170" s="1360"/>
      <c r="SZM170" s="1360"/>
      <c r="SZN170" s="1360"/>
      <c r="SZO170" s="1360"/>
      <c r="SZP170" s="1362"/>
      <c r="SZQ170" s="955"/>
      <c r="SZR170" s="963"/>
      <c r="SZS170" s="2242"/>
      <c r="SZT170" s="1360"/>
      <c r="SZU170" s="1360"/>
      <c r="SZV170" s="1360"/>
      <c r="SZW170" s="1360"/>
      <c r="SZX170" s="1362"/>
      <c r="SZY170" s="955"/>
      <c r="SZZ170" s="963"/>
      <c r="TAA170" s="2242"/>
      <c r="TAB170" s="1360"/>
      <c r="TAC170" s="1360"/>
      <c r="TAD170" s="1360"/>
      <c r="TAE170" s="1360"/>
      <c r="TAF170" s="1362"/>
      <c r="TAG170" s="955"/>
      <c r="TAH170" s="963"/>
      <c r="TAI170" s="2242"/>
      <c r="TAJ170" s="1360"/>
      <c r="TAK170" s="1360"/>
      <c r="TAL170" s="1360"/>
      <c r="TAM170" s="1360"/>
      <c r="TAN170" s="1362"/>
      <c r="TAO170" s="955"/>
      <c r="TAP170" s="963"/>
      <c r="TAQ170" s="2242"/>
      <c r="TAR170" s="1360"/>
      <c r="TAS170" s="1360"/>
      <c r="TAT170" s="1360"/>
      <c r="TAU170" s="1360"/>
      <c r="TAV170" s="1362"/>
      <c r="TAW170" s="955"/>
      <c r="TAX170" s="963"/>
      <c r="TAY170" s="2242"/>
      <c r="TAZ170" s="1360"/>
      <c r="TBA170" s="1360"/>
      <c r="TBB170" s="1360"/>
      <c r="TBC170" s="1360"/>
      <c r="TBD170" s="1362"/>
      <c r="TBE170" s="955"/>
      <c r="TBF170" s="963"/>
      <c r="TBG170" s="2242"/>
      <c r="TBH170" s="1360"/>
      <c r="TBI170" s="1360"/>
      <c r="TBJ170" s="1360"/>
      <c r="TBK170" s="1360"/>
      <c r="TBL170" s="1362"/>
      <c r="TBM170" s="955"/>
      <c r="TBN170" s="963"/>
      <c r="TBO170" s="2242"/>
      <c r="TBP170" s="1360"/>
      <c r="TBQ170" s="1360"/>
      <c r="TBR170" s="1360"/>
      <c r="TBS170" s="1360"/>
      <c r="TBT170" s="1362"/>
      <c r="TBU170" s="955"/>
      <c r="TBV170" s="963"/>
      <c r="TBW170" s="2242"/>
      <c r="TBX170" s="1360"/>
      <c r="TBY170" s="1360"/>
      <c r="TBZ170" s="1360"/>
      <c r="TCA170" s="1360"/>
      <c r="TCB170" s="1362"/>
      <c r="TCC170" s="955"/>
      <c r="TCD170" s="963"/>
      <c r="TCE170" s="2242"/>
      <c r="TCF170" s="1360"/>
      <c r="TCG170" s="1360"/>
      <c r="TCH170" s="1360"/>
      <c r="TCI170" s="1360"/>
      <c r="TCJ170" s="1362"/>
      <c r="TCK170" s="955"/>
      <c r="TCL170" s="963"/>
      <c r="TCM170" s="2242"/>
      <c r="TCN170" s="1360"/>
      <c r="TCO170" s="1360"/>
      <c r="TCP170" s="1360"/>
      <c r="TCQ170" s="1360"/>
      <c r="TCR170" s="1362"/>
      <c r="TCS170" s="955"/>
      <c r="TCT170" s="963"/>
      <c r="TCU170" s="2242"/>
      <c r="TCV170" s="1360"/>
      <c r="TCW170" s="1360"/>
      <c r="TCX170" s="1360"/>
      <c r="TCY170" s="1360"/>
      <c r="TCZ170" s="1362"/>
      <c r="TDA170" s="955"/>
      <c r="TDB170" s="963"/>
      <c r="TDC170" s="2242"/>
      <c r="TDD170" s="1360"/>
      <c r="TDE170" s="1360"/>
      <c r="TDF170" s="1360"/>
      <c r="TDG170" s="1360"/>
      <c r="TDH170" s="1362"/>
      <c r="TDI170" s="955"/>
      <c r="TDJ170" s="963"/>
      <c r="TDK170" s="2242"/>
      <c r="TDL170" s="1360"/>
      <c r="TDM170" s="1360"/>
      <c r="TDN170" s="1360"/>
      <c r="TDO170" s="1360"/>
      <c r="TDP170" s="1362"/>
      <c r="TDQ170" s="955"/>
      <c r="TDR170" s="963"/>
      <c r="TDS170" s="2242"/>
      <c r="TDT170" s="1360"/>
      <c r="TDU170" s="1360"/>
      <c r="TDV170" s="1360"/>
      <c r="TDW170" s="1360"/>
      <c r="TDX170" s="1362"/>
      <c r="TDY170" s="955"/>
      <c r="TDZ170" s="963"/>
      <c r="TEA170" s="2242"/>
      <c r="TEB170" s="1360"/>
      <c r="TEC170" s="1360"/>
      <c r="TED170" s="1360"/>
      <c r="TEE170" s="1360"/>
      <c r="TEF170" s="1362"/>
      <c r="TEG170" s="955"/>
      <c r="TEH170" s="963"/>
      <c r="TEI170" s="2242"/>
      <c r="TEJ170" s="1360"/>
      <c r="TEK170" s="1360"/>
      <c r="TEL170" s="1360"/>
      <c r="TEM170" s="1360"/>
      <c r="TEN170" s="1362"/>
      <c r="TEO170" s="955"/>
      <c r="TEP170" s="963"/>
      <c r="TEQ170" s="2242"/>
      <c r="TER170" s="1360"/>
      <c r="TES170" s="1360"/>
      <c r="TET170" s="1360"/>
      <c r="TEU170" s="1360"/>
      <c r="TEV170" s="1362"/>
      <c r="TEW170" s="955"/>
      <c r="TEX170" s="963"/>
      <c r="TEY170" s="2242"/>
      <c r="TEZ170" s="1360"/>
      <c r="TFA170" s="1360"/>
      <c r="TFB170" s="1360"/>
      <c r="TFC170" s="1360"/>
      <c r="TFD170" s="1362"/>
      <c r="TFE170" s="955"/>
      <c r="TFF170" s="963"/>
      <c r="TFG170" s="2242"/>
      <c r="TFH170" s="1360"/>
      <c r="TFI170" s="1360"/>
      <c r="TFJ170" s="1360"/>
      <c r="TFK170" s="1360"/>
      <c r="TFL170" s="1362"/>
      <c r="TFM170" s="955"/>
      <c r="TFN170" s="963"/>
      <c r="TFO170" s="2242"/>
      <c r="TFP170" s="1360"/>
      <c r="TFQ170" s="1360"/>
      <c r="TFR170" s="1360"/>
      <c r="TFS170" s="1360"/>
      <c r="TFT170" s="1362"/>
      <c r="TFU170" s="955"/>
      <c r="TFV170" s="963"/>
      <c r="TFW170" s="2242"/>
      <c r="TFX170" s="1360"/>
      <c r="TFY170" s="1360"/>
      <c r="TFZ170" s="1360"/>
      <c r="TGA170" s="1360"/>
      <c r="TGB170" s="1362"/>
      <c r="TGC170" s="955"/>
      <c r="TGD170" s="963"/>
      <c r="TGE170" s="2242"/>
      <c r="TGF170" s="1360"/>
      <c r="TGG170" s="1360"/>
      <c r="TGH170" s="1360"/>
      <c r="TGI170" s="1360"/>
      <c r="TGJ170" s="1362"/>
      <c r="TGK170" s="955"/>
      <c r="TGL170" s="963"/>
      <c r="TGM170" s="2242"/>
      <c r="TGN170" s="1360"/>
      <c r="TGO170" s="1360"/>
      <c r="TGP170" s="1360"/>
      <c r="TGQ170" s="1360"/>
      <c r="TGR170" s="1362"/>
      <c r="TGS170" s="955"/>
      <c r="TGT170" s="963"/>
      <c r="TGU170" s="2242"/>
      <c r="TGV170" s="1360"/>
      <c r="TGW170" s="1360"/>
      <c r="TGX170" s="1360"/>
      <c r="TGY170" s="1360"/>
      <c r="TGZ170" s="1362"/>
      <c r="THA170" s="955"/>
      <c r="THB170" s="963"/>
      <c r="THC170" s="2242"/>
      <c r="THD170" s="1360"/>
      <c r="THE170" s="1360"/>
      <c r="THF170" s="1360"/>
      <c r="THG170" s="1360"/>
      <c r="THH170" s="1362"/>
      <c r="THI170" s="955"/>
      <c r="THJ170" s="963"/>
      <c r="THK170" s="2242"/>
      <c r="THL170" s="1360"/>
      <c r="THM170" s="1360"/>
      <c r="THN170" s="1360"/>
      <c r="THO170" s="1360"/>
      <c r="THP170" s="1362"/>
      <c r="THQ170" s="955"/>
      <c r="THR170" s="963"/>
      <c r="THS170" s="2242"/>
      <c r="THT170" s="1360"/>
      <c r="THU170" s="1360"/>
      <c r="THV170" s="1360"/>
      <c r="THW170" s="1360"/>
      <c r="THX170" s="1362"/>
      <c r="THY170" s="955"/>
      <c r="THZ170" s="963"/>
      <c r="TIA170" s="2242"/>
      <c r="TIB170" s="1360"/>
      <c r="TIC170" s="1360"/>
      <c r="TID170" s="1360"/>
      <c r="TIE170" s="1360"/>
      <c r="TIF170" s="1362"/>
      <c r="TIG170" s="955"/>
      <c r="TIH170" s="963"/>
      <c r="TII170" s="2242"/>
      <c r="TIJ170" s="1360"/>
      <c r="TIK170" s="1360"/>
      <c r="TIL170" s="1360"/>
      <c r="TIM170" s="1360"/>
      <c r="TIN170" s="1362"/>
      <c r="TIO170" s="955"/>
      <c r="TIP170" s="963"/>
      <c r="TIQ170" s="2242"/>
      <c r="TIR170" s="1360"/>
      <c r="TIS170" s="1360"/>
      <c r="TIT170" s="1360"/>
      <c r="TIU170" s="1360"/>
      <c r="TIV170" s="1362"/>
      <c r="TIW170" s="955"/>
      <c r="TIX170" s="963"/>
      <c r="TIY170" s="2242"/>
      <c r="TIZ170" s="1360"/>
      <c r="TJA170" s="1360"/>
      <c r="TJB170" s="1360"/>
      <c r="TJC170" s="1360"/>
      <c r="TJD170" s="1362"/>
      <c r="TJE170" s="955"/>
      <c r="TJF170" s="963"/>
      <c r="TJG170" s="2242"/>
      <c r="TJH170" s="1360"/>
      <c r="TJI170" s="1360"/>
      <c r="TJJ170" s="1360"/>
      <c r="TJK170" s="1360"/>
      <c r="TJL170" s="1362"/>
      <c r="TJM170" s="955"/>
      <c r="TJN170" s="963"/>
      <c r="TJO170" s="2242"/>
      <c r="TJP170" s="1360"/>
      <c r="TJQ170" s="1360"/>
      <c r="TJR170" s="1360"/>
      <c r="TJS170" s="1360"/>
      <c r="TJT170" s="1362"/>
      <c r="TJU170" s="955"/>
      <c r="TJV170" s="963"/>
      <c r="TJW170" s="2242"/>
      <c r="TJX170" s="1360"/>
      <c r="TJY170" s="1360"/>
      <c r="TJZ170" s="1360"/>
      <c r="TKA170" s="1360"/>
      <c r="TKB170" s="1362"/>
      <c r="TKC170" s="955"/>
      <c r="TKD170" s="963"/>
      <c r="TKE170" s="2242"/>
      <c r="TKF170" s="1360"/>
      <c r="TKG170" s="1360"/>
      <c r="TKH170" s="1360"/>
      <c r="TKI170" s="1360"/>
      <c r="TKJ170" s="1362"/>
      <c r="TKK170" s="955"/>
      <c r="TKL170" s="963"/>
      <c r="TKM170" s="2242"/>
      <c r="TKN170" s="1360"/>
      <c r="TKO170" s="1360"/>
      <c r="TKP170" s="1360"/>
      <c r="TKQ170" s="1360"/>
      <c r="TKR170" s="1362"/>
      <c r="TKS170" s="955"/>
      <c r="TKT170" s="963"/>
      <c r="TKU170" s="2242"/>
      <c r="TKV170" s="1360"/>
      <c r="TKW170" s="1360"/>
      <c r="TKX170" s="1360"/>
      <c r="TKY170" s="1360"/>
      <c r="TKZ170" s="1362"/>
      <c r="TLA170" s="955"/>
      <c r="TLB170" s="963"/>
      <c r="TLC170" s="2242"/>
      <c r="TLD170" s="1360"/>
      <c r="TLE170" s="1360"/>
      <c r="TLF170" s="1360"/>
      <c r="TLG170" s="1360"/>
      <c r="TLH170" s="1362"/>
      <c r="TLI170" s="955"/>
      <c r="TLJ170" s="963"/>
      <c r="TLK170" s="2242"/>
      <c r="TLL170" s="1360"/>
      <c r="TLM170" s="1360"/>
      <c r="TLN170" s="1360"/>
      <c r="TLO170" s="1360"/>
      <c r="TLP170" s="1362"/>
      <c r="TLQ170" s="955"/>
      <c r="TLR170" s="963"/>
      <c r="TLS170" s="2242"/>
      <c r="TLT170" s="1360"/>
      <c r="TLU170" s="1360"/>
      <c r="TLV170" s="1360"/>
      <c r="TLW170" s="1360"/>
      <c r="TLX170" s="1362"/>
      <c r="TLY170" s="955"/>
      <c r="TLZ170" s="963"/>
      <c r="TMA170" s="2242"/>
      <c r="TMB170" s="1360"/>
      <c r="TMC170" s="1360"/>
      <c r="TMD170" s="1360"/>
      <c r="TME170" s="1360"/>
      <c r="TMF170" s="1362"/>
      <c r="TMG170" s="955"/>
      <c r="TMH170" s="963"/>
      <c r="TMI170" s="2242"/>
      <c r="TMJ170" s="1360"/>
      <c r="TMK170" s="1360"/>
      <c r="TML170" s="1360"/>
      <c r="TMM170" s="1360"/>
      <c r="TMN170" s="1362"/>
      <c r="TMO170" s="955"/>
      <c r="TMP170" s="963"/>
      <c r="TMQ170" s="2242"/>
      <c r="TMR170" s="1360"/>
      <c r="TMS170" s="1360"/>
      <c r="TMT170" s="1360"/>
      <c r="TMU170" s="1360"/>
      <c r="TMV170" s="1362"/>
      <c r="TMW170" s="955"/>
      <c r="TMX170" s="963"/>
      <c r="TMY170" s="2242"/>
      <c r="TMZ170" s="1360"/>
      <c r="TNA170" s="1360"/>
      <c r="TNB170" s="1360"/>
      <c r="TNC170" s="1360"/>
      <c r="TND170" s="1362"/>
      <c r="TNE170" s="955"/>
      <c r="TNF170" s="963"/>
      <c r="TNG170" s="2242"/>
      <c r="TNH170" s="1360"/>
      <c r="TNI170" s="1360"/>
      <c r="TNJ170" s="1360"/>
      <c r="TNK170" s="1360"/>
      <c r="TNL170" s="1362"/>
      <c r="TNM170" s="955"/>
      <c r="TNN170" s="963"/>
      <c r="TNO170" s="2242"/>
      <c r="TNP170" s="1360"/>
      <c r="TNQ170" s="1360"/>
      <c r="TNR170" s="1360"/>
      <c r="TNS170" s="1360"/>
      <c r="TNT170" s="1362"/>
      <c r="TNU170" s="955"/>
      <c r="TNV170" s="963"/>
      <c r="TNW170" s="2242"/>
      <c r="TNX170" s="1360"/>
      <c r="TNY170" s="1360"/>
      <c r="TNZ170" s="1360"/>
      <c r="TOA170" s="1360"/>
      <c r="TOB170" s="1362"/>
      <c r="TOC170" s="955"/>
      <c r="TOD170" s="963"/>
      <c r="TOE170" s="2242"/>
      <c r="TOF170" s="1360"/>
      <c r="TOG170" s="1360"/>
      <c r="TOH170" s="1360"/>
      <c r="TOI170" s="1360"/>
      <c r="TOJ170" s="1362"/>
      <c r="TOK170" s="955"/>
      <c r="TOL170" s="963"/>
      <c r="TOM170" s="2242"/>
      <c r="TON170" s="1360"/>
      <c r="TOO170" s="1360"/>
      <c r="TOP170" s="1360"/>
      <c r="TOQ170" s="1360"/>
      <c r="TOR170" s="1362"/>
      <c r="TOS170" s="955"/>
      <c r="TOT170" s="963"/>
      <c r="TOU170" s="2242"/>
      <c r="TOV170" s="1360"/>
      <c r="TOW170" s="1360"/>
      <c r="TOX170" s="1360"/>
      <c r="TOY170" s="1360"/>
      <c r="TOZ170" s="1362"/>
      <c r="TPA170" s="955"/>
      <c r="TPB170" s="963"/>
      <c r="TPC170" s="2242"/>
      <c r="TPD170" s="1360"/>
      <c r="TPE170" s="1360"/>
      <c r="TPF170" s="1360"/>
      <c r="TPG170" s="1360"/>
      <c r="TPH170" s="1362"/>
      <c r="TPI170" s="955"/>
      <c r="TPJ170" s="963"/>
      <c r="TPK170" s="2242"/>
      <c r="TPL170" s="1360"/>
      <c r="TPM170" s="1360"/>
      <c r="TPN170" s="1360"/>
      <c r="TPO170" s="1360"/>
      <c r="TPP170" s="1362"/>
      <c r="TPQ170" s="955"/>
      <c r="TPR170" s="963"/>
      <c r="TPS170" s="2242"/>
      <c r="TPT170" s="1360"/>
      <c r="TPU170" s="1360"/>
      <c r="TPV170" s="1360"/>
      <c r="TPW170" s="1360"/>
      <c r="TPX170" s="1362"/>
      <c r="TPY170" s="955"/>
      <c r="TPZ170" s="963"/>
      <c r="TQA170" s="2242"/>
      <c r="TQB170" s="1360"/>
      <c r="TQC170" s="1360"/>
      <c r="TQD170" s="1360"/>
      <c r="TQE170" s="1360"/>
      <c r="TQF170" s="1362"/>
      <c r="TQG170" s="955"/>
      <c r="TQH170" s="963"/>
      <c r="TQI170" s="2242"/>
      <c r="TQJ170" s="1360"/>
      <c r="TQK170" s="1360"/>
      <c r="TQL170" s="1360"/>
      <c r="TQM170" s="1360"/>
      <c r="TQN170" s="1362"/>
      <c r="TQO170" s="955"/>
      <c r="TQP170" s="963"/>
      <c r="TQQ170" s="2242"/>
      <c r="TQR170" s="1360"/>
      <c r="TQS170" s="1360"/>
      <c r="TQT170" s="1360"/>
      <c r="TQU170" s="1360"/>
      <c r="TQV170" s="1362"/>
      <c r="TQW170" s="955"/>
      <c r="TQX170" s="963"/>
      <c r="TQY170" s="2242"/>
      <c r="TQZ170" s="1360"/>
      <c r="TRA170" s="1360"/>
      <c r="TRB170" s="1360"/>
      <c r="TRC170" s="1360"/>
      <c r="TRD170" s="1362"/>
      <c r="TRE170" s="955"/>
      <c r="TRF170" s="963"/>
      <c r="TRG170" s="2242"/>
      <c r="TRH170" s="1360"/>
      <c r="TRI170" s="1360"/>
      <c r="TRJ170" s="1360"/>
      <c r="TRK170" s="1360"/>
      <c r="TRL170" s="1362"/>
      <c r="TRM170" s="955"/>
      <c r="TRN170" s="963"/>
      <c r="TRO170" s="2242"/>
      <c r="TRP170" s="1360"/>
      <c r="TRQ170" s="1360"/>
      <c r="TRR170" s="1360"/>
      <c r="TRS170" s="1360"/>
      <c r="TRT170" s="1362"/>
      <c r="TRU170" s="955"/>
      <c r="TRV170" s="963"/>
      <c r="TRW170" s="2242"/>
      <c r="TRX170" s="1360"/>
      <c r="TRY170" s="1360"/>
      <c r="TRZ170" s="1360"/>
      <c r="TSA170" s="1360"/>
      <c r="TSB170" s="1362"/>
      <c r="TSC170" s="955"/>
      <c r="TSD170" s="963"/>
      <c r="TSE170" s="2242"/>
      <c r="TSF170" s="1360"/>
      <c r="TSG170" s="1360"/>
      <c r="TSH170" s="1360"/>
      <c r="TSI170" s="1360"/>
      <c r="TSJ170" s="1362"/>
      <c r="TSK170" s="955"/>
      <c r="TSL170" s="963"/>
      <c r="TSM170" s="2242"/>
      <c r="TSN170" s="1360"/>
      <c r="TSO170" s="1360"/>
      <c r="TSP170" s="1360"/>
      <c r="TSQ170" s="1360"/>
      <c r="TSR170" s="1362"/>
      <c r="TSS170" s="955"/>
      <c r="TST170" s="963"/>
      <c r="TSU170" s="2242"/>
      <c r="TSV170" s="1360"/>
      <c r="TSW170" s="1360"/>
      <c r="TSX170" s="1360"/>
      <c r="TSY170" s="1360"/>
      <c r="TSZ170" s="1362"/>
      <c r="TTA170" s="955"/>
      <c r="TTB170" s="963"/>
      <c r="TTC170" s="2242"/>
      <c r="TTD170" s="1360"/>
      <c r="TTE170" s="1360"/>
      <c r="TTF170" s="1360"/>
      <c r="TTG170" s="1360"/>
      <c r="TTH170" s="1362"/>
      <c r="TTI170" s="955"/>
      <c r="TTJ170" s="963"/>
      <c r="TTK170" s="2242"/>
      <c r="TTL170" s="1360"/>
      <c r="TTM170" s="1360"/>
      <c r="TTN170" s="1360"/>
      <c r="TTO170" s="1360"/>
      <c r="TTP170" s="1362"/>
      <c r="TTQ170" s="955"/>
      <c r="TTR170" s="963"/>
      <c r="TTS170" s="2242"/>
      <c r="TTT170" s="1360"/>
      <c r="TTU170" s="1360"/>
      <c r="TTV170" s="1360"/>
      <c r="TTW170" s="1360"/>
      <c r="TTX170" s="1362"/>
      <c r="TTY170" s="955"/>
      <c r="TTZ170" s="963"/>
      <c r="TUA170" s="2242"/>
      <c r="TUB170" s="1360"/>
      <c r="TUC170" s="1360"/>
      <c r="TUD170" s="1360"/>
      <c r="TUE170" s="1360"/>
      <c r="TUF170" s="1362"/>
      <c r="TUG170" s="955"/>
      <c r="TUH170" s="963"/>
      <c r="TUI170" s="2242"/>
      <c r="TUJ170" s="1360"/>
      <c r="TUK170" s="1360"/>
      <c r="TUL170" s="1360"/>
      <c r="TUM170" s="1360"/>
      <c r="TUN170" s="1362"/>
      <c r="TUO170" s="955"/>
      <c r="TUP170" s="963"/>
      <c r="TUQ170" s="2242"/>
      <c r="TUR170" s="1360"/>
      <c r="TUS170" s="1360"/>
      <c r="TUT170" s="1360"/>
      <c r="TUU170" s="1360"/>
      <c r="TUV170" s="1362"/>
      <c r="TUW170" s="955"/>
      <c r="TUX170" s="963"/>
      <c r="TUY170" s="2242"/>
      <c r="TUZ170" s="1360"/>
      <c r="TVA170" s="1360"/>
      <c r="TVB170" s="1360"/>
      <c r="TVC170" s="1360"/>
      <c r="TVD170" s="1362"/>
      <c r="TVE170" s="955"/>
      <c r="TVF170" s="963"/>
      <c r="TVG170" s="2242"/>
      <c r="TVH170" s="1360"/>
      <c r="TVI170" s="1360"/>
      <c r="TVJ170" s="1360"/>
      <c r="TVK170" s="1360"/>
      <c r="TVL170" s="1362"/>
      <c r="TVM170" s="955"/>
      <c r="TVN170" s="963"/>
      <c r="TVO170" s="2242"/>
      <c r="TVP170" s="1360"/>
      <c r="TVQ170" s="1360"/>
      <c r="TVR170" s="1360"/>
      <c r="TVS170" s="1360"/>
      <c r="TVT170" s="1362"/>
      <c r="TVU170" s="955"/>
      <c r="TVV170" s="963"/>
      <c r="TVW170" s="2242"/>
      <c r="TVX170" s="1360"/>
      <c r="TVY170" s="1360"/>
      <c r="TVZ170" s="1360"/>
      <c r="TWA170" s="1360"/>
      <c r="TWB170" s="1362"/>
      <c r="TWC170" s="955"/>
      <c r="TWD170" s="963"/>
      <c r="TWE170" s="2242"/>
      <c r="TWF170" s="1360"/>
      <c r="TWG170" s="1360"/>
      <c r="TWH170" s="1360"/>
      <c r="TWI170" s="1360"/>
      <c r="TWJ170" s="1362"/>
      <c r="TWK170" s="955"/>
      <c r="TWL170" s="963"/>
      <c r="TWM170" s="2242"/>
      <c r="TWN170" s="1360"/>
      <c r="TWO170" s="1360"/>
      <c r="TWP170" s="1360"/>
      <c r="TWQ170" s="1360"/>
      <c r="TWR170" s="1362"/>
      <c r="TWS170" s="955"/>
      <c r="TWT170" s="963"/>
      <c r="TWU170" s="2242"/>
      <c r="TWV170" s="1360"/>
      <c r="TWW170" s="1360"/>
      <c r="TWX170" s="1360"/>
      <c r="TWY170" s="1360"/>
      <c r="TWZ170" s="1362"/>
      <c r="TXA170" s="955"/>
      <c r="TXB170" s="963"/>
      <c r="TXC170" s="2242"/>
      <c r="TXD170" s="1360"/>
      <c r="TXE170" s="1360"/>
      <c r="TXF170" s="1360"/>
      <c r="TXG170" s="1360"/>
      <c r="TXH170" s="1362"/>
      <c r="TXI170" s="955"/>
      <c r="TXJ170" s="963"/>
      <c r="TXK170" s="2242"/>
      <c r="TXL170" s="1360"/>
      <c r="TXM170" s="1360"/>
      <c r="TXN170" s="1360"/>
      <c r="TXO170" s="1360"/>
      <c r="TXP170" s="1362"/>
      <c r="TXQ170" s="955"/>
      <c r="TXR170" s="963"/>
      <c r="TXS170" s="2242"/>
      <c r="TXT170" s="1360"/>
      <c r="TXU170" s="1360"/>
      <c r="TXV170" s="1360"/>
      <c r="TXW170" s="1360"/>
      <c r="TXX170" s="1362"/>
      <c r="TXY170" s="955"/>
      <c r="TXZ170" s="963"/>
      <c r="TYA170" s="2242"/>
      <c r="TYB170" s="1360"/>
      <c r="TYC170" s="1360"/>
      <c r="TYD170" s="1360"/>
      <c r="TYE170" s="1360"/>
      <c r="TYF170" s="1362"/>
      <c r="TYG170" s="955"/>
      <c r="TYH170" s="963"/>
      <c r="TYI170" s="2242"/>
      <c r="TYJ170" s="1360"/>
      <c r="TYK170" s="1360"/>
      <c r="TYL170" s="1360"/>
      <c r="TYM170" s="1360"/>
      <c r="TYN170" s="1362"/>
      <c r="TYO170" s="955"/>
      <c r="TYP170" s="963"/>
      <c r="TYQ170" s="2242"/>
      <c r="TYR170" s="1360"/>
      <c r="TYS170" s="1360"/>
      <c r="TYT170" s="1360"/>
      <c r="TYU170" s="1360"/>
      <c r="TYV170" s="1362"/>
      <c r="TYW170" s="955"/>
      <c r="TYX170" s="963"/>
      <c r="TYY170" s="2242"/>
      <c r="TYZ170" s="1360"/>
      <c r="TZA170" s="1360"/>
      <c r="TZB170" s="1360"/>
      <c r="TZC170" s="1360"/>
      <c r="TZD170" s="1362"/>
      <c r="TZE170" s="955"/>
      <c r="TZF170" s="963"/>
      <c r="TZG170" s="2242"/>
      <c r="TZH170" s="1360"/>
      <c r="TZI170" s="1360"/>
      <c r="TZJ170" s="1360"/>
      <c r="TZK170" s="1360"/>
      <c r="TZL170" s="1362"/>
      <c r="TZM170" s="955"/>
      <c r="TZN170" s="963"/>
      <c r="TZO170" s="2242"/>
      <c r="TZP170" s="1360"/>
      <c r="TZQ170" s="1360"/>
      <c r="TZR170" s="1360"/>
      <c r="TZS170" s="1360"/>
      <c r="TZT170" s="1362"/>
      <c r="TZU170" s="955"/>
      <c r="TZV170" s="963"/>
      <c r="TZW170" s="2242"/>
      <c r="TZX170" s="1360"/>
      <c r="TZY170" s="1360"/>
      <c r="TZZ170" s="1360"/>
      <c r="UAA170" s="1360"/>
      <c r="UAB170" s="1362"/>
      <c r="UAC170" s="955"/>
      <c r="UAD170" s="963"/>
      <c r="UAE170" s="2242"/>
      <c r="UAF170" s="1360"/>
      <c r="UAG170" s="1360"/>
      <c r="UAH170" s="1360"/>
      <c r="UAI170" s="1360"/>
      <c r="UAJ170" s="1362"/>
      <c r="UAK170" s="955"/>
      <c r="UAL170" s="963"/>
      <c r="UAM170" s="2242"/>
      <c r="UAN170" s="1360"/>
      <c r="UAO170" s="1360"/>
      <c r="UAP170" s="1360"/>
      <c r="UAQ170" s="1360"/>
      <c r="UAR170" s="1362"/>
      <c r="UAS170" s="955"/>
      <c r="UAT170" s="963"/>
      <c r="UAU170" s="2242"/>
      <c r="UAV170" s="1360"/>
      <c r="UAW170" s="1360"/>
      <c r="UAX170" s="1360"/>
      <c r="UAY170" s="1360"/>
      <c r="UAZ170" s="1362"/>
      <c r="UBA170" s="955"/>
      <c r="UBB170" s="963"/>
      <c r="UBC170" s="2242"/>
      <c r="UBD170" s="1360"/>
      <c r="UBE170" s="1360"/>
      <c r="UBF170" s="1360"/>
      <c r="UBG170" s="1360"/>
      <c r="UBH170" s="1362"/>
      <c r="UBI170" s="955"/>
      <c r="UBJ170" s="963"/>
      <c r="UBK170" s="2242"/>
      <c r="UBL170" s="1360"/>
      <c r="UBM170" s="1360"/>
      <c r="UBN170" s="1360"/>
      <c r="UBO170" s="1360"/>
      <c r="UBP170" s="1362"/>
      <c r="UBQ170" s="955"/>
      <c r="UBR170" s="963"/>
      <c r="UBS170" s="2242"/>
      <c r="UBT170" s="1360"/>
      <c r="UBU170" s="1360"/>
      <c r="UBV170" s="1360"/>
      <c r="UBW170" s="1360"/>
      <c r="UBX170" s="1362"/>
      <c r="UBY170" s="955"/>
      <c r="UBZ170" s="963"/>
      <c r="UCA170" s="2242"/>
      <c r="UCB170" s="1360"/>
      <c r="UCC170" s="1360"/>
      <c r="UCD170" s="1360"/>
      <c r="UCE170" s="1360"/>
      <c r="UCF170" s="1362"/>
      <c r="UCG170" s="955"/>
      <c r="UCH170" s="963"/>
      <c r="UCI170" s="2242"/>
      <c r="UCJ170" s="1360"/>
      <c r="UCK170" s="1360"/>
      <c r="UCL170" s="1360"/>
      <c r="UCM170" s="1360"/>
      <c r="UCN170" s="1362"/>
      <c r="UCO170" s="955"/>
      <c r="UCP170" s="963"/>
      <c r="UCQ170" s="2242"/>
      <c r="UCR170" s="1360"/>
      <c r="UCS170" s="1360"/>
      <c r="UCT170" s="1360"/>
      <c r="UCU170" s="1360"/>
      <c r="UCV170" s="1362"/>
      <c r="UCW170" s="955"/>
      <c r="UCX170" s="963"/>
      <c r="UCY170" s="2242"/>
      <c r="UCZ170" s="1360"/>
      <c r="UDA170" s="1360"/>
      <c r="UDB170" s="1360"/>
      <c r="UDC170" s="1360"/>
      <c r="UDD170" s="1362"/>
      <c r="UDE170" s="955"/>
      <c r="UDF170" s="963"/>
      <c r="UDG170" s="2242"/>
      <c r="UDH170" s="1360"/>
      <c r="UDI170" s="1360"/>
      <c r="UDJ170" s="1360"/>
      <c r="UDK170" s="1360"/>
      <c r="UDL170" s="1362"/>
      <c r="UDM170" s="955"/>
      <c r="UDN170" s="963"/>
      <c r="UDO170" s="2242"/>
      <c r="UDP170" s="1360"/>
      <c r="UDQ170" s="1360"/>
      <c r="UDR170" s="1360"/>
      <c r="UDS170" s="1360"/>
      <c r="UDT170" s="1362"/>
      <c r="UDU170" s="955"/>
      <c r="UDV170" s="963"/>
      <c r="UDW170" s="2242"/>
      <c r="UDX170" s="1360"/>
      <c r="UDY170" s="1360"/>
      <c r="UDZ170" s="1360"/>
      <c r="UEA170" s="1360"/>
      <c r="UEB170" s="1362"/>
      <c r="UEC170" s="955"/>
      <c r="UED170" s="963"/>
      <c r="UEE170" s="2242"/>
      <c r="UEF170" s="1360"/>
      <c r="UEG170" s="1360"/>
      <c r="UEH170" s="1360"/>
      <c r="UEI170" s="1360"/>
      <c r="UEJ170" s="1362"/>
      <c r="UEK170" s="955"/>
      <c r="UEL170" s="963"/>
      <c r="UEM170" s="2242"/>
      <c r="UEN170" s="1360"/>
      <c r="UEO170" s="1360"/>
      <c r="UEP170" s="1360"/>
      <c r="UEQ170" s="1360"/>
      <c r="UER170" s="1362"/>
      <c r="UES170" s="955"/>
      <c r="UET170" s="963"/>
      <c r="UEU170" s="2242"/>
      <c r="UEV170" s="1360"/>
      <c r="UEW170" s="1360"/>
      <c r="UEX170" s="1360"/>
      <c r="UEY170" s="1360"/>
      <c r="UEZ170" s="1362"/>
      <c r="UFA170" s="955"/>
      <c r="UFB170" s="963"/>
      <c r="UFC170" s="2242"/>
      <c r="UFD170" s="1360"/>
      <c r="UFE170" s="1360"/>
      <c r="UFF170" s="1360"/>
      <c r="UFG170" s="1360"/>
      <c r="UFH170" s="1362"/>
      <c r="UFI170" s="955"/>
      <c r="UFJ170" s="963"/>
      <c r="UFK170" s="2242"/>
      <c r="UFL170" s="1360"/>
      <c r="UFM170" s="1360"/>
      <c r="UFN170" s="1360"/>
      <c r="UFO170" s="1360"/>
      <c r="UFP170" s="1362"/>
      <c r="UFQ170" s="955"/>
      <c r="UFR170" s="963"/>
      <c r="UFS170" s="2242"/>
      <c r="UFT170" s="1360"/>
      <c r="UFU170" s="1360"/>
      <c r="UFV170" s="1360"/>
      <c r="UFW170" s="1360"/>
      <c r="UFX170" s="1362"/>
      <c r="UFY170" s="955"/>
      <c r="UFZ170" s="963"/>
      <c r="UGA170" s="2242"/>
      <c r="UGB170" s="1360"/>
      <c r="UGC170" s="1360"/>
      <c r="UGD170" s="1360"/>
      <c r="UGE170" s="1360"/>
      <c r="UGF170" s="1362"/>
      <c r="UGG170" s="955"/>
      <c r="UGH170" s="963"/>
      <c r="UGI170" s="2242"/>
      <c r="UGJ170" s="1360"/>
      <c r="UGK170" s="1360"/>
      <c r="UGL170" s="1360"/>
      <c r="UGM170" s="1360"/>
      <c r="UGN170" s="1362"/>
      <c r="UGO170" s="955"/>
      <c r="UGP170" s="963"/>
      <c r="UGQ170" s="2242"/>
      <c r="UGR170" s="1360"/>
      <c r="UGS170" s="1360"/>
      <c r="UGT170" s="1360"/>
      <c r="UGU170" s="1360"/>
      <c r="UGV170" s="1362"/>
      <c r="UGW170" s="955"/>
      <c r="UGX170" s="963"/>
      <c r="UGY170" s="2242"/>
      <c r="UGZ170" s="1360"/>
      <c r="UHA170" s="1360"/>
      <c r="UHB170" s="1360"/>
      <c r="UHC170" s="1360"/>
      <c r="UHD170" s="1362"/>
      <c r="UHE170" s="955"/>
      <c r="UHF170" s="963"/>
      <c r="UHG170" s="2242"/>
      <c r="UHH170" s="1360"/>
      <c r="UHI170" s="1360"/>
      <c r="UHJ170" s="1360"/>
      <c r="UHK170" s="1360"/>
      <c r="UHL170" s="1362"/>
      <c r="UHM170" s="955"/>
      <c r="UHN170" s="963"/>
      <c r="UHO170" s="2242"/>
      <c r="UHP170" s="1360"/>
      <c r="UHQ170" s="1360"/>
      <c r="UHR170" s="1360"/>
      <c r="UHS170" s="1360"/>
      <c r="UHT170" s="1362"/>
      <c r="UHU170" s="955"/>
      <c r="UHV170" s="963"/>
      <c r="UHW170" s="2242"/>
      <c r="UHX170" s="1360"/>
      <c r="UHY170" s="1360"/>
      <c r="UHZ170" s="1360"/>
      <c r="UIA170" s="1360"/>
      <c r="UIB170" s="1362"/>
      <c r="UIC170" s="955"/>
      <c r="UID170" s="963"/>
      <c r="UIE170" s="2242"/>
      <c r="UIF170" s="1360"/>
      <c r="UIG170" s="1360"/>
      <c r="UIH170" s="1360"/>
      <c r="UII170" s="1360"/>
      <c r="UIJ170" s="1362"/>
      <c r="UIK170" s="955"/>
      <c r="UIL170" s="963"/>
      <c r="UIM170" s="2242"/>
      <c r="UIN170" s="1360"/>
      <c r="UIO170" s="1360"/>
      <c r="UIP170" s="1360"/>
      <c r="UIQ170" s="1360"/>
      <c r="UIR170" s="1362"/>
      <c r="UIS170" s="955"/>
      <c r="UIT170" s="963"/>
      <c r="UIU170" s="2242"/>
      <c r="UIV170" s="1360"/>
      <c r="UIW170" s="1360"/>
      <c r="UIX170" s="1360"/>
      <c r="UIY170" s="1360"/>
      <c r="UIZ170" s="1362"/>
      <c r="UJA170" s="955"/>
      <c r="UJB170" s="963"/>
      <c r="UJC170" s="2242"/>
      <c r="UJD170" s="1360"/>
      <c r="UJE170" s="1360"/>
      <c r="UJF170" s="1360"/>
      <c r="UJG170" s="1360"/>
      <c r="UJH170" s="1362"/>
      <c r="UJI170" s="955"/>
      <c r="UJJ170" s="963"/>
      <c r="UJK170" s="2242"/>
      <c r="UJL170" s="1360"/>
      <c r="UJM170" s="1360"/>
      <c r="UJN170" s="1360"/>
      <c r="UJO170" s="1360"/>
      <c r="UJP170" s="1362"/>
      <c r="UJQ170" s="955"/>
      <c r="UJR170" s="963"/>
      <c r="UJS170" s="2242"/>
      <c r="UJT170" s="1360"/>
      <c r="UJU170" s="1360"/>
      <c r="UJV170" s="1360"/>
      <c r="UJW170" s="1360"/>
      <c r="UJX170" s="1362"/>
      <c r="UJY170" s="955"/>
      <c r="UJZ170" s="963"/>
      <c r="UKA170" s="2242"/>
      <c r="UKB170" s="1360"/>
      <c r="UKC170" s="1360"/>
      <c r="UKD170" s="1360"/>
      <c r="UKE170" s="1360"/>
      <c r="UKF170" s="1362"/>
      <c r="UKG170" s="955"/>
      <c r="UKH170" s="963"/>
      <c r="UKI170" s="2242"/>
      <c r="UKJ170" s="1360"/>
      <c r="UKK170" s="1360"/>
      <c r="UKL170" s="1360"/>
      <c r="UKM170" s="1360"/>
      <c r="UKN170" s="1362"/>
      <c r="UKO170" s="955"/>
      <c r="UKP170" s="963"/>
      <c r="UKQ170" s="2242"/>
      <c r="UKR170" s="1360"/>
      <c r="UKS170" s="1360"/>
      <c r="UKT170" s="1360"/>
      <c r="UKU170" s="1360"/>
      <c r="UKV170" s="1362"/>
      <c r="UKW170" s="955"/>
      <c r="UKX170" s="963"/>
      <c r="UKY170" s="2242"/>
      <c r="UKZ170" s="1360"/>
      <c r="ULA170" s="1360"/>
      <c r="ULB170" s="1360"/>
      <c r="ULC170" s="1360"/>
      <c r="ULD170" s="1362"/>
      <c r="ULE170" s="955"/>
      <c r="ULF170" s="963"/>
      <c r="ULG170" s="2242"/>
      <c r="ULH170" s="1360"/>
      <c r="ULI170" s="1360"/>
      <c r="ULJ170" s="1360"/>
      <c r="ULK170" s="1360"/>
      <c r="ULL170" s="1362"/>
      <c r="ULM170" s="955"/>
      <c r="ULN170" s="963"/>
      <c r="ULO170" s="2242"/>
      <c r="ULP170" s="1360"/>
      <c r="ULQ170" s="1360"/>
      <c r="ULR170" s="1360"/>
      <c r="ULS170" s="1360"/>
      <c r="ULT170" s="1362"/>
      <c r="ULU170" s="955"/>
      <c r="ULV170" s="963"/>
      <c r="ULW170" s="2242"/>
      <c r="ULX170" s="1360"/>
      <c r="ULY170" s="1360"/>
      <c r="ULZ170" s="1360"/>
      <c r="UMA170" s="1360"/>
      <c r="UMB170" s="1362"/>
      <c r="UMC170" s="955"/>
      <c r="UMD170" s="963"/>
      <c r="UME170" s="2242"/>
      <c r="UMF170" s="1360"/>
      <c r="UMG170" s="1360"/>
      <c r="UMH170" s="1360"/>
      <c r="UMI170" s="1360"/>
      <c r="UMJ170" s="1362"/>
      <c r="UMK170" s="955"/>
      <c r="UML170" s="963"/>
      <c r="UMM170" s="2242"/>
      <c r="UMN170" s="1360"/>
      <c r="UMO170" s="1360"/>
      <c r="UMP170" s="1360"/>
      <c r="UMQ170" s="1360"/>
      <c r="UMR170" s="1362"/>
      <c r="UMS170" s="955"/>
      <c r="UMT170" s="963"/>
      <c r="UMU170" s="2242"/>
      <c r="UMV170" s="1360"/>
      <c r="UMW170" s="1360"/>
      <c r="UMX170" s="1360"/>
      <c r="UMY170" s="1360"/>
      <c r="UMZ170" s="1362"/>
      <c r="UNA170" s="955"/>
      <c r="UNB170" s="963"/>
      <c r="UNC170" s="2242"/>
      <c r="UND170" s="1360"/>
      <c r="UNE170" s="1360"/>
      <c r="UNF170" s="1360"/>
      <c r="UNG170" s="1360"/>
      <c r="UNH170" s="1362"/>
      <c r="UNI170" s="955"/>
      <c r="UNJ170" s="963"/>
      <c r="UNK170" s="2242"/>
      <c r="UNL170" s="1360"/>
      <c r="UNM170" s="1360"/>
      <c r="UNN170" s="1360"/>
      <c r="UNO170" s="1360"/>
      <c r="UNP170" s="1362"/>
      <c r="UNQ170" s="955"/>
      <c r="UNR170" s="963"/>
      <c r="UNS170" s="2242"/>
      <c r="UNT170" s="1360"/>
      <c r="UNU170" s="1360"/>
      <c r="UNV170" s="1360"/>
      <c r="UNW170" s="1360"/>
      <c r="UNX170" s="1362"/>
      <c r="UNY170" s="955"/>
      <c r="UNZ170" s="963"/>
      <c r="UOA170" s="2242"/>
      <c r="UOB170" s="1360"/>
      <c r="UOC170" s="1360"/>
      <c r="UOD170" s="1360"/>
      <c r="UOE170" s="1360"/>
      <c r="UOF170" s="1362"/>
      <c r="UOG170" s="955"/>
      <c r="UOH170" s="963"/>
      <c r="UOI170" s="2242"/>
      <c r="UOJ170" s="1360"/>
      <c r="UOK170" s="1360"/>
      <c r="UOL170" s="1360"/>
      <c r="UOM170" s="1360"/>
      <c r="UON170" s="1362"/>
      <c r="UOO170" s="955"/>
      <c r="UOP170" s="963"/>
      <c r="UOQ170" s="2242"/>
      <c r="UOR170" s="1360"/>
      <c r="UOS170" s="1360"/>
      <c r="UOT170" s="1360"/>
      <c r="UOU170" s="1360"/>
      <c r="UOV170" s="1362"/>
      <c r="UOW170" s="955"/>
      <c r="UOX170" s="963"/>
      <c r="UOY170" s="2242"/>
      <c r="UOZ170" s="1360"/>
      <c r="UPA170" s="1360"/>
      <c r="UPB170" s="1360"/>
      <c r="UPC170" s="1360"/>
      <c r="UPD170" s="1362"/>
      <c r="UPE170" s="955"/>
      <c r="UPF170" s="963"/>
      <c r="UPG170" s="2242"/>
      <c r="UPH170" s="1360"/>
      <c r="UPI170" s="1360"/>
      <c r="UPJ170" s="1360"/>
      <c r="UPK170" s="1360"/>
      <c r="UPL170" s="1362"/>
      <c r="UPM170" s="955"/>
      <c r="UPN170" s="963"/>
      <c r="UPO170" s="2242"/>
      <c r="UPP170" s="1360"/>
      <c r="UPQ170" s="1360"/>
      <c r="UPR170" s="1360"/>
      <c r="UPS170" s="1360"/>
      <c r="UPT170" s="1362"/>
      <c r="UPU170" s="955"/>
      <c r="UPV170" s="963"/>
      <c r="UPW170" s="2242"/>
      <c r="UPX170" s="1360"/>
      <c r="UPY170" s="1360"/>
      <c r="UPZ170" s="1360"/>
      <c r="UQA170" s="1360"/>
      <c r="UQB170" s="1362"/>
      <c r="UQC170" s="955"/>
      <c r="UQD170" s="963"/>
      <c r="UQE170" s="2242"/>
      <c r="UQF170" s="1360"/>
      <c r="UQG170" s="1360"/>
      <c r="UQH170" s="1360"/>
      <c r="UQI170" s="1360"/>
      <c r="UQJ170" s="1362"/>
      <c r="UQK170" s="955"/>
      <c r="UQL170" s="963"/>
      <c r="UQM170" s="2242"/>
      <c r="UQN170" s="1360"/>
      <c r="UQO170" s="1360"/>
      <c r="UQP170" s="1360"/>
      <c r="UQQ170" s="1360"/>
      <c r="UQR170" s="1362"/>
      <c r="UQS170" s="955"/>
      <c r="UQT170" s="963"/>
      <c r="UQU170" s="2242"/>
      <c r="UQV170" s="1360"/>
      <c r="UQW170" s="1360"/>
      <c r="UQX170" s="1360"/>
      <c r="UQY170" s="1360"/>
      <c r="UQZ170" s="1362"/>
      <c r="URA170" s="955"/>
      <c r="URB170" s="963"/>
      <c r="URC170" s="2242"/>
      <c r="URD170" s="1360"/>
      <c r="URE170" s="1360"/>
      <c r="URF170" s="1360"/>
      <c r="URG170" s="1360"/>
      <c r="URH170" s="1362"/>
      <c r="URI170" s="955"/>
      <c r="URJ170" s="963"/>
      <c r="URK170" s="2242"/>
      <c r="URL170" s="1360"/>
      <c r="URM170" s="1360"/>
      <c r="URN170" s="1360"/>
      <c r="URO170" s="1360"/>
      <c r="URP170" s="1362"/>
      <c r="URQ170" s="955"/>
      <c r="URR170" s="963"/>
      <c r="URS170" s="2242"/>
      <c r="URT170" s="1360"/>
      <c r="URU170" s="1360"/>
      <c r="URV170" s="1360"/>
      <c r="URW170" s="1360"/>
      <c r="URX170" s="1362"/>
      <c r="URY170" s="955"/>
      <c r="URZ170" s="963"/>
      <c r="USA170" s="2242"/>
      <c r="USB170" s="1360"/>
      <c r="USC170" s="1360"/>
      <c r="USD170" s="1360"/>
      <c r="USE170" s="1360"/>
      <c r="USF170" s="1362"/>
      <c r="USG170" s="955"/>
      <c r="USH170" s="963"/>
      <c r="USI170" s="2242"/>
      <c r="USJ170" s="1360"/>
      <c r="USK170" s="1360"/>
      <c r="USL170" s="1360"/>
      <c r="USM170" s="1360"/>
      <c r="USN170" s="1362"/>
      <c r="USO170" s="955"/>
      <c r="USP170" s="963"/>
      <c r="USQ170" s="2242"/>
      <c r="USR170" s="1360"/>
      <c r="USS170" s="1360"/>
      <c r="UST170" s="1360"/>
      <c r="USU170" s="1360"/>
      <c r="USV170" s="1362"/>
      <c r="USW170" s="955"/>
      <c r="USX170" s="963"/>
      <c r="USY170" s="2242"/>
      <c r="USZ170" s="1360"/>
      <c r="UTA170" s="1360"/>
      <c r="UTB170" s="1360"/>
      <c r="UTC170" s="1360"/>
      <c r="UTD170" s="1362"/>
      <c r="UTE170" s="955"/>
      <c r="UTF170" s="963"/>
      <c r="UTG170" s="2242"/>
      <c r="UTH170" s="1360"/>
      <c r="UTI170" s="1360"/>
      <c r="UTJ170" s="1360"/>
      <c r="UTK170" s="1360"/>
      <c r="UTL170" s="1362"/>
      <c r="UTM170" s="955"/>
      <c r="UTN170" s="963"/>
      <c r="UTO170" s="2242"/>
      <c r="UTP170" s="1360"/>
      <c r="UTQ170" s="1360"/>
      <c r="UTR170" s="1360"/>
      <c r="UTS170" s="1360"/>
      <c r="UTT170" s="1362"/>
      <c r="UTU170" s="955"/>
      <c r="UTV170" s="963"/>
      <c r="UTW170" s="2242"/>
      <c r="UTX170" s="1360"/>
      <c r="UTY170" s="1360"/>
      <c r="UTZ170" s="1360"/>
      <c r="UUA170" s="1360"/>
      <c r="UUB170" s="1362"/>
      <c r="UUC170" s="955"/>
      <c r="UUD170" s="963"/>
      <c r="UUE170" s="2242"/>
      <c r="UUF170" s="1360"/>
      <c r="UUG170" s="1360"/>
      <c r="UUH170" s="1360"/>
      <c r="UUI170" s="1360"/>
      <c r="UUJ170" s="1362"/>
      <c r="UUK170" s="955"/>
      <c r="UUL170" s="963"/>
      <c r="UUM170" s="2242"/>
      <c r="UUN170" s="1360"/>
      <c r="UUO170" s="1360"/>
      <c r="UUP170" s="1360"/>
      <c r="UUQ170" s="1360"/>
      <c r="UUR170" s="1362"/>
      <c r="UUS170" s="955"/>
      <c r="UUT170" s="963"/>
      <c r="UUU170" s="2242"/>
      <c r="UUV170" s="1360"/>
      <c r="UUW170" s="1360"/>
      <c r="UUX170" s="1360"/>
      <c r="UUY170" s="1360"/>
      <c r="UUZ170" s="1362"/>
      <c r="UVA170" s="955"/>
      <c r="UVB170" s="963"/>
      <c r="UVC170" s="2242"/>
      <c r="UVD170" s="1360"/>
      <c r="UVE170" s="1360"/>
      <c r="UVF170" s="1360"/>
      <c r="UVG170" s="1360"/>
      <c r="UVH170" s="1362"/>
      <c r="UVI170" s="955"/>
      <c r="UVJ170" s="963"/>
      <c r="UVK170" s="2242"/>
      <c r="UVL170" s="1360"/>
      <c r="UVM170" s="1360"/>
      <c r="UVN170" s="1360"/>
      <c r="UVO170" s="1360"/>
      <c r="UVP170" s="1362"/>
      <c r="UVQ170" s="955"/>
      <c r="UVR170" s="963"/>
      <c r="UVS170" s="2242"/>
      <c r="UVT170" s="1360"/>
      <c r="UVU170" s="1360"/>
      <c r="UVV170" s="1360"/>
      <c r="UVW170" s="1360"/>
      <c r="UVX170" s="1362"/>
      <c r="UVY170" s="955"/>
      <c r="UVZ170" s="963"/>
      <c r="UWA170" s="2242"/>
      <c r="UWB170" s="1360"/>
      <c r="UWC170" s="1360"/>
      <c r="UWD170" s="1360"/>
      <c r="UWE170" s="1360"/>
      <c r="UWF170" s="1362"/>
      <c r="UWG170" s="955"/>
      <c r="UWH170" s="963"/>
      <c r="UWI170" s="2242"/>
      <c r="UWJ170" s="1360"/>
      <c r="UWK170" s="1360"/>
      <c r="UWL170" s="1360"/>
      <c r="UWM170" s="1360"/>
      <c r="UWN170" s="1362"/>
      <c r="UWO170" s="955"/>
      <c r="UWP170" s="963"/>
      <c r="UWQ170" s="2242"/>
      <c r="UWR170" s="1360"/>
      <c r="UWS170" s="1360"/>
      <c r="UWT170" s="1360"/>
      <c r="UWU170" s="1360"/>
      <c r="UWV170" s="1362"/>
      <c r="UWW170" s="955"/>
      <c r="UWX170" s="963"/>
      <c r="UWY170" s="2242"/>
      <c r="UWZ170" s="1360"/>
      <c r="UXA170" s="1360"/>
      <c r="UXB170" s="1360"/>
      <c r="UXC170" s="1360"/>
      <c r="UXD170" s="1362"/>
      <c r="UXE170" s="955"/>
      <c r="UXF170" s="963"/>
      <c r="UXG170" s="2242"/>
      <c r="UXH170" s="1360"/>
      <c r="UXI170" s="1360"/>
      <c r="UXJ170" s="1360"/>
      <c r="UXK170" s="1360"/>
      <c r="UXL170" s="1362"/>
      <c r="UXM170" s="955"/>
      <c r="UXN170" s="963"/>
      <c r="UXO170" s="2242"/>
      <c r="UXP170" s="1360"/>
      <c r="UXQ170" s="1360"/>
      <c r="UXR170" s="1360"/>
      <c r="UXS170" s="1360"/>
      <c r="UXT170" s="1362"/>
      <c r="UXU170" s="955"/>
      <c r="UXV170" s="963"/>
      <c r="UXW170" s="2242"/>
      <c r="UXX170" s="1360"/>
      <c r="UXY170" s="1360"/>
      <c r="UXZ170" s="1360"/>
      <c r="UYA170" s="1360"/>
      <c r="UYB170" s="1362"/>
      <c r="UYC170" s="955"/>
      <c r="UYD170" s="963"/>
      <c r="UYE170" s="2242"/>
      <c r="UYF170" s="1360"/>
      <c r="UYG170" s="1360"/>
      <c r="UYH170" s="1360"/>
      <c r="UYI170" s="1360"/>
      <c r="UYJ170" s="1362"/>
      <c r="UYK170" s="955"/>
      <c r="UYL170" s="963"/>
      <c r="UYM170" s="2242"/>
      <c r="UYN170" s="1360"/>
      <c r="UYO170" s="1360"/>
      <c r="UYP170" s="1360"/>
      <c r="UYQ170" s="1360"/>
      <c r="UYR170" s="1362"/>
      <c r="UYS170" s="955"/>
      <c r="UYT170" s="963"/>
      <c r="UYU170" s="2242"/>
      <c r="UYV170" s="1360"/>
      <c r="UYW170" s="1360"/>
      <c r="UYX170" s="1360"/>
      <c r="UYY170" s="1360"/>
      <c r="UYZ170" s="1362"/>
      <c r="UZA170" s="955"/>
      <c r="UZB170" s="963"/>
      <c r="UZC170" s="2242"/>
      <c r="UZD170" s="1360"/>
      <c r="UZE170" s="1360"/>
      <c r="UZF170" s="1360"/>
      <c r="UZG170" s="1360"/>
      <c r="UZH170" s="1362"/>
      <c r="UZI170" s="955"/>
      <c r="UZJ170" s="963"/>
      <c r="UZK170" s="2242"/>
      <c r="UZL170" s="1360"/>
      <c r="UZM170" s="1360"/>
      <c r="UZN170" s="1360"/>
      <c r="UZO170" s="1360"/>
      <c r="UZP170" s="1362"/>
      <c r="UZQ170" s="955"/>
      <c r="UZR170" s="963"/>
      <c r="UZS170" s="2242"/>
      <c r="UZT170" s="1360"/>
      <c r="UZU170" s="1360"/>
      <c r="UZV170" s="1360"/>
      <c r="UZW170" s="1360"/>
      <c r="UZX170" s="1362"/>
      <c r="UZY170" s="955"/>
      <c r="UZZ170" s="963"/>
      <c r="VAA170" s="2242"/>
      <c r="VAB170" s="1360"/>
      <c r="VAC170" s="1360"/>
      <c r="VAD170" s="1360"/>
      <c r="VAE170" s="1360"/>
      <c r="VAF170" s="1362"/>
      <c r="VAG170" s="955"/>
      <c r="VAH170" s="963"/>
      <c r="VAI170" s="2242"/>
      <c r="VAJ170" s="1360"/>
      <c r="VAK170" s="1360"/>
      <c r="VAL170" s="1360"/>
      <c r="VAM170" s="1360"/>
      <c r="VAN170" s="1362"/>
      <c r="VAO170" s="955"/>
      <c r="VAP170" s="963"/>
      <c r="VAQ170" s="2242"/>
      <c r="VAR170" s="1360"/>
      <c r="VAS170" s="1360"/>
      <c r="VAT170" s="1360"/>
      <c r="VAU170" s="1360"/>
      <c r="VAV170" s="1362"/>
      <c r="VAW170" s="955"/>
      <c r="VAX170" s="963"/>
      <c r="VAY170" s="2242"/>
      <c r="VAZ170" s="1360"/>
      <c r="VBA170" s="1360"/>
      <c r="VBB170" s="1360"/>
      <c r="VBC170" s="1360"/>
      <c r="VBD170" s="1362"/>
      <c r="VBE170" s="955"/>
      <c r="VBF170" s="963"/>
      <c r="VBG170" s="2242"/>
      <c r="VBH170" s="1360"/>
      <c r="VBI170" s="1360"/>
      <c r="VBJ170" s="1360"/>
      <c r="VBK170" s="1360"/>
      <c r="VBL170" s="1362"/>
      <c r="VBM170" s="955"/>
      <c r="VBN170" s="963"/>
      <c r="VBO170" s="2242"/>
      <c r="VBP170" s="1360"/>
      <c r="VBQ170" s="1360"/>
      <c r="VBR170" s="1360"/>
      <c r="VBS170" s="1360"/>
      <c r="VBT170" s="1362"/>
      <c r="VBU170" s="955"/>
      <c r="VBV170" s="963"/>
      <c r="VBW170" s="2242"/>
      <c r="VBX170" s="1360"/>
      <c r="VBY170" s="1360"/>
      <c r="VBZ170" s="1360"/>
      <c r="VCA170" s="1360"/>
      <c r="VCB170" s="1362"/>
      <c r="VCC170" s="955"/>
      <c r="VCD170" s="963"/>
      <c r="VCE170" s="2242"/>
      <c r="VCF170" s="1360"/>
      <c r="VCG170" s="1360"/>
      <c r="VCH170" s="1360"/>
      <c r="VCI170" s="1360"/>
      <c r="VCJ170" s="1362"/>
      <c r="VCK170" s="955"/>
      <c r="VCL170" s="963"/>
      <c r="VCM170" s="2242"/>
      <c r="VCN170" s="1360"/>
      <c r="VCO170" s="1360"/>
      <c r="VCP170" s="1360"/>
      <c r="VCQ170" s="1360"/>
      <c r="VCR170" s="1362"/>
      <c r="VCS170" s="955"/>
      <c r="VCT170" s="963"/>
      <c r="VCU170" s="2242"/>
      <c r="VCV170" s="1360"/>
      <c r="VCW170" s="1360"/>
      <c r="VCX170" s="1360"/>
      <c r="VCY170" s="1360"/>
      <c r="VCZ170" s="1362"/>
      <c r="VDA170" s="955"/>
      <c r="VDB170" s="963"/>
      <c r="VDC170" s="2242"/>
      <c r="VDD170" s="1360"/>
      <c r="VDE170" s="1360"/>
      <c r="VDF170" s="1360"/>
      <c r="VDG170" s="1360"/>
      <c r="VDH170" s="1362"/>
      <c r="VDI170" s="955"/>
      <c r="VDJ170" s="963"/>
      <c r="VDK170" s="2242"/>
      <c r="VDL170" s="1360"/>
      <c r="VDM170" s="1360"/>
      <c r="VDN170" s="1360"/>
      <c r="VDO170" s="1360"/>
      <c r="VDP170" s="1362"/>
      <c r="VDQ170" s="955"/>
      <c r="VDR170" s="963"/>
      <c r="VDS170" s="2242"/>
      <c r="VDT170" s="1360"/>
      <c r="VDU170" s="1360"/>
      <c r="VDV170" s="1360"/>
      <c r="VDW170" s="1360"/>
      <c r="VDX170" s="1362"/>
      <c r="VDY170" s="955"/>
      <c r="VDZ170" s="963"/>
      <c r="VEA170" s="2242"/>
      <c r="VEB170" s="1360"/>
      <c r="VEC170" s="1360"/>
      <c r="VED170" s="1360"/>
      <c r="VEE170" s="1360"/>
      <c r="VEF170" s="1362"/>
      <c r="VEG170" s="955"/>
      <c r="VEH170" s="963"/>
      <c r="VEI170" s="2242"/>
      <c r="VEJ170" s="1360"/>
      <c r="VEK170" s="1360"/>
      <c r="VEL170" s="1360"/>
      <c r="VEM170" s="1360"/>
      <c r="VEN170" s="1362"/>
      <c r="VEO170" s="955"/>
      <c r="VEP170" s="963"/>
      <c r="VEQ170" s="2242"/>
      <c r="VER170" s="1360"/>
      <c r="VES170" s="1360"/>
      <c r="VET170" s="1360"/>
      <c r="VEU170" s="1360"/>
      <c r="VEV170" s="1362"/>
      <c r="VEW170" s="955"/>
      <c r="VEX170" s="963"/>
      <c r="VEY170" s="2242"/>
      <c r="VEZ170" s="1360"/>
      <c r="VFA170" s="1360"/>
      <c r="VFB170" s="1360"/>
      <c r="VFC170" s="1360"/>
      <c r="VFD170" s="1362"/>
      <c r="VFE170" s="955"/>
      <c r="VFF170" s="963"/>
      <c r="VFG170" s="2242"/>
      <c r="VFH170" s="1360"/>
      <c r="VFI170" s="1360"/>
      <c r="VFJ170" s="1360"/>
      <c r="VFK170" s="1360"/>
      <c r="VFL170" s="1362"/>
      <c r="VFM170" s="955"/>
      <c r="VFN170" s="963"/>
      <c r="VFO170" s="2242"/>
      <c r="VFP170" s="1360"/>
      <c r="VFQ170" s="1360"/>
      <c r="VFR170" s="1360"/>
      <c r="VFS170" s="1360"/>
      <c r="VFT170" s="1362"/>
      <c r="VFU170" s="955"/>
      <c r="VFV170" s="963"/>
      <c r="VFW170" s="2242"/>
      <c r="VFX170" s="1360"/>
      <c r="VFY170" s="1360"/>
      <c r="VFZ170" s="1360"/>
      <c r="VGA170" s="1360"/>
      <c r="VGB170" s="1362"/>
      <c r="VGC170" s="955"/>
      <c r="VGD170" s="963"/>
      <c r="VGE170" s="2242"/>
      <c r="VGF170" s="1360"/>
      <c r="VGG170" s="1360"/>
      <c r="VGH170" s="1360"/>
      <c r="VGI170" s="1360"/>
      <c r="VGJ170" s="1362"/>
      <c r="VGK170" s="955"/>
      <c r="VGL170" s="963"/>
      <c r="VGM170" s="2242"/>
      <c r="VGN170" s="1360"/>
      <c r="VGO170" s="1360"/>
      <c r="VGP170" s="1360"/>
      <c r="VGQ170" s="1360"/>
      <c r="VGR170" s="1362"/>
      <c r="VGS170" s="955"/>
      <c r="VGT170" s="963"/>
      <c r="VGU170" s="2242"/>
      <c r="VGV170" s="1360"/>
      <c r="VGW170" s="1360"/>
      <c r="VGX170" s="1360"/>
      <c r="VGY170" s="1360"/>
      <c r="VGZ170" s="1362"/>
      <c r="VHA170" s="955"/>
      <c r="VHB170" s="963"/>
      <c r="VHC170" s="2242"/>
      <c r="VHD170" s="1360"/>
      <c r="VHE170" s="1360"/>
      <c r="VHF170" s="1360"/>
      <c r="VHG170" s="1360"/>
      <c r="VHH170" s="1362"/>
      <c r="VHI170" s="955"/>
      <c r="VHJ170" s="963"/>
      <c r="VHK170" s="2242"/>
      <c r="VHL170" s="1360"/>
      <c r="VHM170" s="1360"/>
      <c r="VHN170" s="1360"/>
      <c r="VHO170" s="1360"/>
      <c r="VHP170" s="1362"/>
      <c r="VHQ170" s="955"/>
      <c r="VHR170" s="963"/>
      <c r="VHS170" s="2242"/>
      <c r="VHT170" s="1360"/>
      <c r="VHU170" s="1360"/>
      <c r="VHV170" s="1360"/>
      <c r="VHW170" s="1360"/>
      <c r="VHX170" s="1362"/>
      <c r="VHY170" s="955"/>
      <c r="VHZ170" s="963"/>
      <c r="VIA170" s="2242"/>
      <c r="VIB170" s="1360"/>
      <c r="VIC170" s="1360"/>
      <c r="VID170" s="1360"/>
      <c r="VIE170" s="1360"/>
      <c r="VIF170" s="1362"/>
      <c r="VIG170" s="955"/>
      <c r="VIH170" s="963"/>
      <c r="VII170" s="2242"/>
      <c r="VIJ170" s="1360"/>
      <c r="VIK170" s="1360"/>
      <c r="VIL170" s="1360"/>
      <c r="VIM170" s="1360"/>
      <c r="VIN170" s="1362"/>
      <c r="VIO170" s="955"/>
      <c r="VIP170" s="963"/>
      <c r="VIQ170" s="2242"/>
      <c r="VIR170" s="1360"/>
      <c r="VIS170" s="1360"/>
      <c r="VIT170" s="1360"/>
      <c r="VIU170" s="1360"/>
      <c r="VIV170" s="1362"/>
      <c r="VIW170" s="955"/>
      <c r="VIX170" s="963"/>
      <c r="VIY170" s="2242"/>
      <c r="VIZ170" s="1360"/>
      <c r="VJA170" s="1360"/>
      <c r="VJB170" s="1360"/>
      <c r="VJC170" s="1360"/>
      <c r="VJD170" s="1362"/>
      <c r="VJE170" s="955"/>
      <c r="VJF170" s="963"/>
      <c r="VJG170" s="2242"/>
      <c r="VJH170" s="1360"/>
      <c r="VJI170" s="1360"/>
      <c r="VJJ170" s="1360"/>
      <c r="VJK170" s="1360"/>
      <c r="VJL170" s="1362"/>
      <c r="VJM170" s="955"/>
      <c r="VJN170" s="963"/>
      <c r="VJO170" s="2242"/>
      <c r="VJP170" s="1360"/>
      <c r="VJQ170" s="1360"/>
      <c r="VJR170" s="1360"/>
      <c r="VJS170" s="1360"/>
      <c r="VJT170" s="1362"/>
      <c r="VJU170" s="955"/>
      <c r="VJV170" s="963"/>
      <c r="VJW170" s="2242"/>
      <c r="VJX170" s="1360"/>
      <c r="VJY170" s="1360"/>
      <c r="VJZ170" s="1360"/>
      <c r="VKA170" s="1360"/>
      <c r="VKB170" s="1362"/>
      <c r="VKC170" s="955"/>
      <c r="VKD170" s="963"/>
      <c r="VKE170" s="2242"/>
      <c r="VKF170" s="1360"/>
      <c r="VKG170" s="1360"/>
      <c r="VKH170" s="1360"/>
      <c r="VKI170" s="1360"/>
      <c r="VKJ170" s="1362"/>
      <c r="VKK170" s="955"/>
      <c r="VKL170" s="963"/>
      <c r="VKM170" s="2242"/>
      <c r="VKN170" s="1360"/>
      <c r="VKO170" s="1360"/>
      <c r="VKP170" s="1360"/>
      <c r="VKQ170" s="1360"/>
      <c r="VKR170" s="1362"/>
      <c r="VKS170" s="955"/>
      <c r="VKT170" s="963"/>
      <c r="VKU170" s="2242"/>
      <c r="VKV170" s="1360"/>
      <c r="VKW170" s="1360"/>
      <c r="VKX170" s="1360"/>
      <c r="VKY170" s="1360"/>
      <c r="VKZ170" s="1362"/>
      <c r="VLA170" s="955"/>
      <c r="VLB170" s="963"/>
      <c r="VLC170" s="2242"/>
      <c r="VLD170" s="1360"/>
      <c r="VLE170" s="1360"/>
      <c r="VLF170" s="1360"/>
      <c r="VLG170" s="1360"/>
      <c r="VLH170" s="1362"/>
      <c r="VLI170" s="955"/>
      <c r="VLJ170" s="963"/>
      <c r="VLK170" s="2242"/>
      <c r="VLL170" s="1360"/>
      <c r="VLM170" s="1360"/>
      <c r="VLN170" s="1360"/>
      <c r="VLO170" s="1360"/>
      <c r="VLP170" s="1362"/>
      <c r="VLQ170" s="955"/>
      <c r="VLR170" s="963"/>
      <c r="VLS170" s="2242"/>
      <c r="VLT170" s="1360"/>
      <c r="VLU170" s="1360"/>
      <c r="VLV170" s="1360"/>
      <c r="VLW170" s="1360"/>
      <c r="VLX170" s="1362"/>
      <c r="VLY170" s="955"/>
      <c r="VLZ170" s="963"/>
      <c r="VMA170" s="2242"/>
      <c r="VMB170" s="1360"/>
      <c r="VMC170" s="1360"/>
      <c r="VMD170" s="1360"/>
      <c r="VME170" s="1360"/>
      <c r="VMF170" s="1362"/>
      <c r="VMG170" s="955"/>
      <c r="VMH170" s="963"/>
      <c r="VMI170" s="2242"/>
      <c r="VMJ170" s="1360"/>
      <c r="VMK170" s="1360"/>
      <c r="VML170" s="1360"/>
      <c r="VMM170" s="1360"/>
      <c r="VMN170" s="1362"/>
      <c r="VMO170" s="955"/>
      <c r="VMP170" s="963"/>
      <c r="VMQ170" s="2242"/>
      <c r="VMR170" s="1360"/>
      <c r="VMS170" s="1360"/>
      <c r="VMT170" s="1360"/>
      <c r="VMU170" s="1360"/>
      <c r="VMV170" s="1362"/>
      <c r="VMW170" s="955"/>
      <c r="VMX170" s="963"/>
      <c r="VMY170" s="2242"/>
      <c r="VMZ170" s="1360"/>
      <c r="VNA170" s="1360"/>
      <c r="VNB170" s="1360"/>
      <c r="VNC170" s="1360"/>
      <c r="VND170" s="1362"/>
      <c r="VNE170" s="955"/>
      <c r="VNF170" s="963"/>
      <c r="VNG170" s="2242"/>
      <c r="VNH170" s="1360"/>
      <c r="VNI170" s="1360"/>
      <c r="VNJ170" s="1360"/>
      <c r="VNK170" s="1360"/>
      <c r="VNL170" s="1362"/>
      <c r="VNM170" s="955"/>
      <c r="VNN170" s="963"/>
      <c r="VNO170" s="2242"/>
      <c r="VNP170" s="1360"/>
      <c r="VNQ170" s="1360"/>
      <c r="VNR170" s="1360"/>
      <c r="VNS170" s="1360"/>
      <c r="VNT170" s="1362"/>
      <c r="VNU170" s="955"/>
      <c r="VNV170" s="963"/>
      <c r="VNW170" s="2242"/>
      <c r="VNX170" s="1360"/>
      <c r="VNY170" s="1360"/>
      <c r="VNZ170" s="1360"/>
      <c r="VOA170" s="1360"/>
      <c r="VOB170" s="1362"/>
      <c r="VOC170" s="955"/>
      <c r="VOD170" s="963"/>
      <c r="VOE170" s="2242"/>
      <c r="VOF170" s="1360"/>
      <c r="VOG170" s="1360"/>
      <c r="VOH170" s="1360"/>
      <c r="VOI170" s="1360"/>
      <c r="VOJ170" s="1362"/>
      <c r="VOK170" s="955"/>
      <c r="VOL170" s="963"/>
      <c r="VOM170" s="2242"/>
      <c r="VON170" s="1360"/>
      <c r="VOO170" s="1360"/>
      <c r="VOP170" s="1360"/>
      <c r="VOQ170" s="1360"/>
      <c r="VOR170" s="1362"/>
      <c r="VOS170" s="955"/>
      <c r="VOT170" s="963"/>
      <c r="VOU170" s="2242"/>
      <c r="VOV170" s="1360"/>
      <c r="VOW170" s="1360"/>
      <c r="VOX170" s="1360"/>
      <c r="VOY170" s="1360"/>
      <c r="VOZ170" s="1362"/>
      <c r="VPA170" s="955"/>
      <c r="VPB170" s="963"/>
      <c r="VPC170" s="2242"/>
      <c r="VPD170" s="1360"/>
      <c r="VPE170" s="1360"/>
      <c r="VPF170" s="1360"/>
      <c r="VPG170" s="1360"/>
      <c r="VPH170" s="1362"/>
      <c r="VPI170" s="955"/>
      <c r="VPJ170" s="963"/>
      <c r="VPK170" s="2242"/>
      <c r="VPL170" s="1360"/>
      <c r="VPM170" s="1360"/>
      <c r="VPN170" s="1360"/>
      <c r="VPO170" s="1360"/>
      <c r="VPP170" s="1362"/>
      <c r="VPQ170" s="955"/>
      <c r="VPR170" s="963"/>
      <c r="VPS170" s="2242"/>
      <c r="VPT170" s="1360"/>
      <c r="VPU170" s="1360"/>
      <c r="VPV170" s="1360"/>
      <c r="VPW170" s="1360"/>
      <c r="VPX170" s="1362"/>
      <c r="VPY170" s="955"/>
      <c r="VPZ170" s="963"/>
      <c r="VQA170" s="2242"/>
      <c r="VQB170" s="1360"/>
      <c r="VQC170" s="1360"/>
      <c r="VQD170" s="1360"/>
      <c r="VQE170" s="1360"/>
      <c r="VQF170" s="1362"/>
      <c r="VQG170" s="955"/>
      <c r="VQH170" s="963"/>
      <c r="VQI170" s="2242"/>
      <c r="VQJ170" s="1360"/>
      <c r="VQK170" s="1360"/>
      <c r="VQL170" s="1360"/>
      <c r="VQM170" s="1360"/>
      <c r="VQN170" s="1362"/>
      <c r="VQO170" s="955"/>
      <c r="VQP170" s="963"/>
      <c r="VQQ170" s="2242"/>
      <c r="VQR170" s="1360"/>
      <c r="VQS170" s="1360"/>
      <c r="VQT170" s="1360"/>
      <c r="VQU170" s="1360"/>
      <c r="VQV170" s="1362"/>
      <c r="VQW170" s="955"/>
      <c r="VQX170" s="963"/>
      <c r="VQY170" s="2242"/>
      <c r="VQZ170" s="1360"/>
      <c r="VRA170" s="1360"/>
      <c r="VRB170" s="1360"/>
      <c r="VRC170" s="1360"/>
      <c r="VRD170" s="1362"/>
      <c r="VRE170" s="955"/>
      <c r="VRF170" s="963"/>
      <c r="VRG170" s="2242"/>
      <c r="VRH170" s="1360"/>
      <c r="VRI170" s="1360"/>
      <c r="VRJ170" s="1360"/>
      <c r="VRK170" s="1360"/>
      <c r="VRL170" s="1362"/>
      <c r="VRM170" s="955"/>
      <c r="VRN170" s="963"/>
      <c r="VRO170" s="2242"/>
      <c r="VRP170" s="1360"/>
      <c r="VRQ170" s="1360"/>
      <c r="VRR170" s="1360"/>
      <c r="VRS170" s="1360"/>
      <c r="VRT170" s="1362"/>
      <c r="VRU170" s="955"/>
      <c r="VRV170" s="963"/>
      <c r="VRW170" s="2242"/>
      <c r="VRX170" s="1360"/>
      <c r="VRY170" s="1360"/>
      <c r="VRZ170" s="1360"/>
      <c r="VSA170" s="1360"/>
      <c r="VSB170" s="1362"/>
      <c r="VSC170" s="955"/>
      <c r="VSD170" s="963"/>
      <c r="VSE170" s="2242"/>
      <c r="VSF170" s="1360"/>
      <c r="VSG170" s="1360"/>
      <c r="VSH170" s="1360"/>
      <c r="VSI170" s="1360"/>
      <c r="VSJ170" s="1362"/>
      <c r="VSK170" s="955"/>
      <c r="VSL170" s="963"/>
      <c r="VSM170" s="2242"/>
      <c r="VSN170" s="1360"/>
      <c r="VSO170" s="1360"/>
      <c r="VSP170" s="1360"/>
      <c r="VSQ170" s="1360"/>
      <c r="VSR170" s="1362"/>
      <c r="VSS170" s="955"/>
      <c r="VST170" s="963"/>
      <c r="VSU170" s="2242"/>
      <c r="VSV170" s="1360"/>
      <c r="VSW170" s="1360"/>
      <c r="VSX170" s="1360"/>
      <c r="VSY170" s="1360"/>
      <c r="VSZ170" s="1362"/>
      <c r="VTA170" s="955"/>
      <c r="VTB170" s="963"/>
      <c r="VTC170" s="2242"/>
      <c r="VTD170" s="1360"/>
      <c r="VTE170" s="1360"/>
      <c r="VTF170" s="1360"/>
      <c r="VTG170" s="1360"/>
      <c r="VTH170" s="1362"/>
      <c r="VTI170" s="955"/>
      <c r="VTJ170" s="963"/>
      <c r="VTK170" s="2242"/>
      <c r="VTL170" s="1360"/>
      <c r="VTM170" s="1360"/>
      <c r="VTN170" s="1360"/>
      <c r="VTO170" s="1360"/>
      <c r="VTP170" s="1362"/>
      <c r="VTQ170" s="955"/>
      <c r="VTR170" s="963"/>
      <c r="VTS170" s="2242"/>
      <c r="VTT170" s="1360"/>
      <c r="VTU170" s="1360"/>
      <c r="VTV170" s="1360"/>
      <c r="VTW170" s="1360"/>
      <c r="VTX170" s="1362"/>
      <c r="VTY170" s="955"/>
      <c r="VTZ170" s="963"/>
      <c r="VUA170" s="2242"/>
      <c r="VUB170" s="1360"/>
      <c r="VUC170" s="1360"/>
      <c r="VUD170" s="1360"/>
      <c r="VUE170" s="1360"/>
      <c r="VUF170" s="1362"/>
      <c r="VUG170" s="955"/>
      <c r="VUH170" s="963"/>
      <c r="VUI170" s="2242"/>
      <c r="VUJ170" s="1360"/>
      <c r="VUK170" s="1360"/>
      <c r="VUL170" s="1360"/>
      <c r="VUM170" s="1360"/>
      <c r="VUN170" s="1362"/>
      <c r="VUO170" s="955"/>
      <c r="VUP170" s="963"/>
      <c r="VUQ170" s="2242"/>
      <c r="VUR170" s="1360"/>
      <c r="VUS170" s="1360"/>
      <c r="VUT170" s="1360"/>
      <c r="VUU170" s="1360"/>
      <c r="VUV170" s="1362"/>
      <c r="VUW170" s="955"/>
      <c r="VUX170" s="963"/>
      <c r="VUY170" s="2242"/>
      <c r="VUZ170" s="1360"/>
      <c r="VVA170" s="1360"/>
      <c r="VVB170" s="1360"/>
      <c r="VVC170" s="1360"/>
      <c r="VVD170" s="1362"/>
      <c r="VVE170" s="955"/>
      <c r="VVF170" s="963"/>
      <c r="VVG170" s="2242"/>
      <c r="VVH170" s="1360"/>
      <c r="VVI170" s="1360"/>
      <c r="VVJ170" s="1360"/>
      <c r="VVK170" s="1360"/>
      <c r="VVL170" s="1362"/>
      <c r="VVM170" s="955"/>
      <c r="VVN170" s="963"/>
      <c r="VVO170" s="2242"/>
      <c r="VVP170" s="1360"/>
      <c r="VVQ170" s="1360"/>
      <c r="VVR170" s="1360"/>
      <c r="VVS170" s="1360"/>
      <c r="VVT170" s="1362"/>
      <c r="VVU170" s="955"/>
      <c r="VVV170" s="963"/>
      <c r="VVW170" s="2242"/>
      <c r="VVX170" s="1360"/>
      <c r="VVY170" s="1360"/>
      <c r="VVZ170" s="1360"/>
      <c r="VWA170" s="1360"/>
      <c r="VWB170" s="1362"/>
      <c r="VWC170" s="955"/>
      <c r="VWD170" s="963"/>
      <c r="VWE170" s="2242"/>
      <c r="VWF170" s="1360"/>
      <c r="VWG170" s="1360"/>
      <c r="VWH170" s="1360"/>
      <c r="VWI170" s="1360"/>
      <c r="VWJ170" s="1362"/>
      <c r="VWK170" s="955"/>
      <c r="VWL170" s="963"/>
      <c r="VWM170" s="2242"/>
      <c r="VWN170" s="1360"/>
      <c r="VWO170" s="1360"/>
      <c r="VWP170" s="1360"/>
      <c r="VWQ170" s="1360"/>
      <c r="VWR170" s="1362"/>
      <c r="VWS170" s="955"/>
      <c r="VWT170" s="963"/>
      <c r="VWU170" s="2242"/>
      <c r="VWV170" s="1360"/>
      <c r="VWW170" s="1360"/>
      <c r="VWX170" s="1360"/>
      <c r="VWY170" s="1360"/>
      <c r="VWZ170" s="1362"/>
      <c r="VXA170" s="955"/>
      <c r="VXB170" s="963"/>
      <c r="VXC170" s="2242"/>
      <c r="VXD170" s="1360"/>
      <c r="VXE170" s="1360"/>
      <c r="VXF170" s="1360"/>
      <c r="VXG170" s="1360"/>
      <c r="VXH170" s="1362"/>
      <c r="VXI170" s="955"/>
      <c r="VXJ170" s="963"/>
      <c r="VXK170" s="2242"/>
      <c r="VXL170" s="1360"/>
      <c r="VXM170" s="1360"/>
      <c r="VXN170" s="1360"/>
      <c r="VXO170" s="1360"/>
      <c r="VXP170" s="1362"/>
      <c r="VXQ170" s="955"/>
      <c r="VXR170" s="963"/>
      <c r="VXS170" s="2242"/>
      <c r="VXT170" s="1360"/>
      <c r="VXU170" s="1360"/>
      <c r="VXV170" s="1360"/>
      <c r="VXW170" s="1360"/>
      <c r="VXX170" s="1362"/>
      <c r="VXY170" s="955"/>
      <c r="VXZ170" s="963"/>
      <c r="VYA170" s="2242"/>
      <c r="VYB170" s="1360"/>
      <c r="VYC170" s="1360"/>
      <c r="VYD170" s="1360"/>
      <c r="VYE170" s="1360"/>
      <c r="VYF170" s="1362"/>
      <c r="VYG170" s="955"/>
      <c r="VYH170" s="963"/>
      <c r="VYI170" s="2242"/>
      <c r="VYJ170" s="1360"/>
      <c r="VYK170" s="1360"/>
      <c r="VYL170" s="1360"/>
      <c r="VYM170" s="1360"/>
      <c r="VYN170" s="1362"/>
      <c r="VYO170" s="955"/>
      <c r="VYP170" s="963"/>
      <c r="VYQ170" s="2242"/>
      <c r="VYR170" s="1360"/>
      <c r="VYS170" s="1360"/>
      <c r="VYT170" s="1360"/>
      <c r="VYU170" s="1360"/>
      <c r="VYV170" s="1362"/>
      <c r="VYW170" s="955"/>
      <c r="VYX170" s="963"/>
      <c r="VYY170" s="2242"/>
      <c r="VYZ170" s="1360"/>
      <c r="VZA170" s="1360"/>
      <c r="VZB170" s="1360"/>
      <c r="VZC170" s="1360"/>
      <c r="VZD170" s="1362"/>
      <c r="VZE170" s="955"/>
      <c r="VZF170" s="963"/>
      <c r="VZG170" s="2242"/>
      <c r="VZH170" s="1360"/>
      <c r="VZI170" s="1360"/>
      <c r="VZJ170" s="1360"/>
      <c r="VZK170" s="1360"/>
      <c r="VZL170" s="1362"/>
      <c r="VZM170" s="955"/>
      <c r="VZN170" s="963"/>
      <c r="VZO170" s="2242"/>
      <c r="VZP170" s="1360"/>
      <c r="VZQ170" s="1360"/>
      <c r="VZR170" s="1360"/>
      <c r="VZS170" s="1360"/>
      <c r="VZT170" s="1362"/>
      <c r="VZU170" s="955"/>
      <c r="VZV170" s="963"/>
      <c r="VZW170" s="2242"/>
      <c r="VZX170" s="1360"/>
      <c r="VZY170" s="1360"/>
      <c r="VZZ170" s="1360"/>
      <c r="WAA170" s="1360"/>
      <c r="WAB170" s="1362"/>
      <c r="WAC170" s="955"/>
      <c r="WAD170" s="963"/>
      <c r="WAE170" s="2242"/>
      <c r="WAF170" s="1360"/>
      <c r="WAG170" s="1360"/>
      <c r="WAH170" s="1360"/>
      <c r="WAI170" s="1360"/>
      <c r="WAJ170" s="1362"/>
      <c r="WAK170" s="955"/>
      <c r="WAL170" s="963"/>
      <c r="WAM170" s="2242"/>
      <c r="WAN170" s="1360"/>
      <c r="WAO170" s="1360"/>
      <c r="WAP170" s="1360"/>
      <c r="WAQ170" s="1360"/>
      <c r="WAR170" s="1362"/>
      <c r="WAS170" s="955"/>
      <c r="WAT170" s="963"/>
      <c r="WAU170" s="2242"/>
      <c r="WAV170" s="1360"/>
      <c r="WAW170" s="1360"/>
      <c r="WAX170" s="1360"/>
      <c r="WAY170" s="1360"/>
      <c r="WAZ170" s="1362"/>
      <c r="WBA170" s="955"/>
      <c r="WBB170" s="963"/>
      <c r="WBC170" s="2242"/>
      <c r="WBD170" s="1360"/>
      <c r="WBE170" s="1360"/>
      <c r="WBF170" s="1360"/>
      <c r="WBG170" s="1360"/>
      <c r="WBH170" s="1362"/>
      <c r="WBI170" s="955"/>
      <c r="WBJ170" s="963"/>
      <c r="WBK170" s="2242"/>
      <c r="WBL170" s="1360"/>
      <c r="WBM170" s="1360"/>
      <c r="WBN170" s="1360"/>
      <c r="WBO170" s="1360"/>
      <c r="WBP170" s="1362"/>
      <c r="WBQ170" s="955"/>
      <c r="WBR170" s="963"/>
      <c r="WBS170" s="2242"/>
      <c r="WBT170" s="1360"/>
      <c r="WBU170" s="1360"/>
      <c r="WBV170" s="1360"/>
      <c r="WBW170" s="1360"/>
      <c r="WBX170" s="1362"/>
      <c r="WBY170" s="955"/>
      <c r="WBZ170" s="963"/>
      <c r="WCA170" s="2242"/>
      <c r="WCB170" s="1360"/>
      <c r="WCC170" s="1360"/>
      <c r="WCD170" s="1360"/>
      <c r="WCE170" s="1360"/>
      <c r="WCF170" s="1362"/>
      <c r="WCG170" s="955"/>
      <c r="WCH170" s="963"/>
      <c r="WCI170" s="2242"/>
      <c r="WCJ170" s="1360"/>
      <c r="WCK170" s="1360"/>
      <c r="WCL170" s="1360"/>
      <c r="WCM170" s="1360"/>
      <c r="WCN170" s="1362"/>
      <c r="WCO170" s="955"/>
      <c r="WCP170" s="963"/>
      <c r="WCQ170" s="2242"/>
      <c r="WCR170" s="1360"/>
      <c r="WCS170" s="1360"/>
      <c r="WCT170" s="1360"/>
      <c r="WCU170" s="1360"/>
      <c r="WCV170" s="1362"/>
      <c r="WCW170" s="955"/>
      <c r="WCX170" s="963"/>
      <c r="WCY170" s="2242"/>
      <c r="WCZ170" s="1360"/>
      <c r="WDA170" s="1360"/>
      <c r="WDB170" s="1360"/>
      <c r="WDC170" s="1360"/>
      <c r="WDD170" s="1362"/>
      <c r="WDE170" s="955"/>
      <c r="WDF170" s="963"/>
      <c r="WDG170" s="2242"/>
      <c r="WDH170" s="1360"/>
      <c r="WDI170" s="1360"/>
      <c r="WDJ170" s="1360"/>
      <c r="WDK170" s="1360"/>
      <c r="WDL170" s="1362"/>
      <c r="WDM170" s="955"/>
      <c r="WDN170" s="963"/>
      <c r="WDO170" s="2242"/>
      <c r="WDP170" s="1360"/>
      <c r="WDQ170" s="1360"/>
      <c r="WDR170" s="1360"/>
      <c r="WDS170" s="1360"/>
      <c r="WDT170" s="1362"/>
      <c r="WDU170" s="955"/>
      <c r="WDV170" s="963"/>
      <c r="WDW170" s="2242"/>
      <c r="WDX170" s="1360"/>
      <c r="WDY170" s="1360"/>
      <c r="WDZ170" s="1360"/>
      <c r="WEA170" s="1360"/>
      <c r="WEB170" s="1362"/>
      <c r="WEC170" s="955"/>
      <c r="WED170" s="963"/>
      <c r="WEE170" s="2242"/>
      <c r="WEF170" s="1360"/>
      <c r="WEG170" s="1360"/>
      <c r="WEH170" s="1360"/>
      <c r="WEI170" s="1360"/>
      <c r="WEJ170" s="1362"/>
      <c r="WEK170" s="955"/>
      <c r="WEL170" s="963"/>
      <c r="WEM170" s="2242"/>
      <c r="WEN170" s="1360"/>
      <c r="WEO170" s="1360"/>
      <c r="WEP170" s="1360"/>
      <c r="WEQ170" s="1360"/>
      <c r="WER170" s="1362"/>
      <c r="WES170" s="955"/>
      <c r="WET170" s="963"/>
      <c r="WEU170" s="2242"/>
      <c r="WEV170" s="1360"/>
      <c r="WEW170" s="1360"/>
      <c r="WEX170" s="1360"/>
      <c r="WEY170" s="1360"/>
      <c r="WEZ170" s="1362"/>
      <c r="WFA170" s="955"/>
      <c r="WFB170" s="963"/>
      <c r="WFC170" s="2242"/>
      <c r="WFD170" s="1360"/>
      <c r="WFE170" s="1360"/>
      <c r="WFF170" s="1360"/>
      <c r="WFG170" s="1360"/>
      <c r="WFH170" s="1362"/>
      <c r="WFI170" s="955"/>
      <c r="WFJ170" s="963"/>
      <c r="WFK170" s="2242"/>
      <c r="WFL170" s="1360"/>
      <c r="WFM170" s="1360"/>
      <c r="WFN170" s="1360"/>
      <c r="WFO170" s="1360"/>
      <c r="WFP170" s="1362"/>
      <c r="WFQ170" s="955"/>
      <c r="WFR170" s="963"/>
      <c r="WFS170" s="2242"/>
      <c r="WFT170" s="1360"/>
      <c r="WFU170" s="1360"/>
      <c r="WFV170" s="1360"/>
      <c r="WFW170" s="1360"/>
      <c r="WFX170" s="1362"/>
      <c r="WFY170" s="955"/>
      <c r="WFZ170" s="963"/>
      <c r="WGA170" s="2242"/>
      <c r="WGB170" s="1360"/>
      <c r="WGC170" s="1360"/>
      <c r="WGD170" s="1360"/>
      <c r="WGE170" s="1360"/>
      <c r="WGF170" s="1362"/>
      <c r="WGG170" s="955"/>
      <c r="WGH170" s="963"/>
      <c r="WGI170" s="2242"/>
      <c r="WGJ170" s="1360"/>
      <c r="WGK170" s="1360"/>
      <c r="WGL170" s="1360"/>
      <c r="WGM170" s="1360"/>
      <c r="WGN170" s="1362"/>
      <c r="WGO170" s="955"/>
      <c r="WGP170" s="963"/>
      <c r="WGQ170" s="2242"/>
      <c r="WGR170" s="1360"/>
      <c r="WGS170" s="1360"/>
      <c r="WGT170" s="1360"/>
      <c r="WGU170" s="1360"/>
      <c r="WGV170" s="1362"/>
      <c r="WGW170" s="955"/>
      <c r="WGX170" s="963"/>
      <c r="WGY170" s="2242"/>
      <c r="WGZ170" s="1360"/>
      <c r="WHA170" s="1360"/>
      <c r="WHB170" s="1360"/>
      <c r="WHC170" s="1360"/>
      <c r="WHD170" s="1362"/>
      <c r="WHE170" s="955"/>
      <c r="WHF170" s="963"/>
      <c r="WHG170" s="2242"/>
      <c r="WHH170" s="1360"/>
      <c r="WHI170" s="1360"/>
      <c r="WHJ170" s="1360"/>
      <c r="WHK170" s="1360"/>
      <c r="WHL170" s="1362"/>
      <c r="WHM170" s="955"/>
      <c r="WHN170" s="963"/>
      <c r="WHO170" s="2242"/>
      <c r="WHP170" s="1360"/>
      <c r="WHQ170" s="1360"/>
      <c r="WHR170" s="1360"/>
      <c r="WHS170" s="1360"/>
      <c r="WHT170" s="1362"/>
      <c r="WHU170" s="955"/>
      <c r="WHV170" s="963"/>
      <c r="WHW170" s="2242"/>
      <c r="WHX170" s="1360"/>
      <c r="WHY170" s="1360"/>
      <c r="WHZ170" s="1360"/>
      <c r="WIA170" s="1360"/>
      <c r="WIB170" s="1362"/>
      <c r="WIC170" s="955"/>
      <c r="WID170" s="963"/>
      <c r="WIE170" s="2242"/>
      <c r="WIF170" s="1360"/>
      <c r="WIG170" s="1360"/>
      <c r="WIH170" s="1360"/>
      <c r="WII170" s="1360"/>
      <c r="WIJ170" s="1362"/>
      <c r="WIK170" s="955"/>
      <c r="WIL170" s="963"/>
      <c r="WIM170" s="2242"/>
      <c r="WIN170" s="1360"/>
      <c r="WIO170" s="1360"/>
      <c r="WIP170" s="1360"/>
      <c r="WIQ170" s="1360"/>
      <c r="WIR170" s="1362"/>
      <c r="WIS170" s="955"/>
      <c r="WIT170" s="963"/>
      <c r="WIU170" s="2242"/>
      <c r="WIV170" s="1360"/>
      <c r="WIW170" s="1360"/>
      <c r="WIX170" s="1360"/>
      <c r="WIY170" s="1360"/>
      <c r="WIZ170" s="1362"/>
      <c r="WJA170" s="955"/>
      <c r="WJB170" s="963"/>
      <c r="WJC170" s="2242"/>
      <c r="WJD170" s="1360"/>
      <c r="WJE170" s="1360"/>
      <c r="WJF170" s="1360"/>
      <c r="WJG170" s="1360"/>
      <c r="WJH170" s="1362"/>
      <c r="WJI170" s="955"/>
      <c r="WJJ170" s="963"/>
      <c r="WJK170" s="2242"/>
      <c r="WJL170" s="1360"/>
      <c r="WJM170" s="1360"/>
      <c r="WJN170" s="1360"/>
      <c r="WJO170" s="1360"/>
      <c r="WJP170" s="1362"/>
      <c r="WJQ170" s="955"/>
      <c r="WJR170" s="963"/>
      <c r="WJS170" s="2242"/>
      <c r="WJT170" s="1360"/>
      <c r="WJU170" s="1360"/>
      <c r="WJV170" s="1360"/>
      <c r="WJW170" s="1360"/>
      <c r="WJX170" s="1362"/>
      <c r="WJY170" s="955"/>
      <c r="WJZ170" s="963"/>
      <c r="WKA170" s="2242"/>
      <c r="WKB170" s="1360"/>
      <c r="WKC170" s="1360"/>
      <c r="WKD170" s="1360"/>
      <c r="WKE170" s="1360"/>
      <c r="WKF170" s="1362"/>
      <c r="WKG170" s="955"/>
      <c r="WKH170" s="963"/>
      <c r="WKI170" s="2242"/>
      <c r="WKJ170" s="1360"/>
      <c r="WKK170" s="1360"/>
      <c r="WKL170" s="1360"/>
      <c r="WKM170" s="1360"/>
      <c r="WKN170" s="1362"/>
      <c r="WKO170" s="955"/>
      <c r="WKP170" s="963"/>
      <c r="WKQ170" s="2242"/>
      <c r="WKR170" s="1360"/>
      <c r="WKS170" s="1360"/>
      <c r="WKT170" s="1360"/>
      <c r="WKU170" s="1360"/>
      <c r="WKV170" s="1362"/>
      <c r="WKW170" s="955"/>
      <c r="WKX170" s="963"/>
      <c r="WKY170" s="2242"/>
      <c r="WKZ170" s="1360"/>
      <c r="WLA170" s="1360"/>
      <c r="WLB170" s="1360"/>
      <c r="WLC170" s="1360"/>
      <c r="WLD170" s="1362"/>
      <c r="WLE170" s="955"/>
      <c r="WLF170" s="963"/>
      <c r="WLG170" s="2242"/>
      <c r="WLH170" s="1360"/>
      <c r="WLI170" s="1360"/>
      <c r="WLJ170" s="1360"/>
      <c r="WLK170" s="1360"/>
      <c r="WLL170" s="1362"/>
      <c r="WLM170" s="955"/>
      <c r="WLN170" s="963"/>
      <c r="WLO170" s="2242"/>
      <c r="WLP170" s="1360"/>
      <c r="WLQ170" s="1360"/>
      <c r="WLR170" s="1360"/>
      <c r="WLS170" s="1360"/>
      <c r="WLT170" s="1362"/>
      <c r="WLU170" s="955"/>
      <c r="WLV170" s="963"/>
      <c r="WLW170" s="2242"/>
      <c r="WLX170" s="1360"/>
      <c r="WLY170" s="1360"/>
      <c r="WLZ170" s="1360"/>
      <c r="WMA170" s="1360"/>
      <c r="WMB170" s="1362"/>
      <c r="WMC170" s="955"/>
      <c r="WMD170" s="963"/>
      <c r="WME170" s="2242"/>
      <c r="WMF170" s="1360"/>
      <c r="WMG170" s="1360"/>
      <c r="WMH170" s="1360"/>
      <c r="WMI170" s="1360"/>
      <c r="WMJ170" s="1362"/>
      <c r="WMK170" s="955"/>
      <c r="WML170" s="963"/>
      <c r="WMM170" s="2242"/>
      <c r="WMN170" s="1360"/>
      <c r="WMO170" s="1360"/>
      <c r="WMP170" s="1360"/>
      <c r="WMQ170" s="1360"/>
      <c r="WMR170" s="1362"/>
      <c r="WMS170" s="955"/>
      <c r="WMT170" s="963"/>
      <c r="WMU170" s="2242"/>
      <c r="WMV170" s="1360"/>
      <c r="WMW170" s="1360"/>
      <c r="WMX170" s="1360"/>
      <c r="WMY170" s="1360"/>
      <c r="WMZ170" s="1362"/>
      <c r="WNA170" s="955"/>
      <c r="WNB170" s="963"/>
      <c r="WNC170" s="2242"/>
      <c r="WND170" s="1360"/>
      <c r="WNE170" s="1360"/>
      <c r="WNF170" s="1360"/>
      <c r="WNG170" s="1360"/>
      <c r="WNH170" s="1362"/>
      <c r="WNI170" s="955"/>
      <c r="WNJ170" s="963"/>
      <c r="WNK170" s="2242"/>
      <c r="WNL170" s="1360"/>
      <c r="WNM170" s="1360"/>
      <c r="WNN170" s="1360"/>
      <c r="WNO170" s="1360"/>
      <c r="WNP170" s="1362"/>
      <c r="WNQ170" s="955"/>
      <c r="WNR170" s="963"/>
      <c r="WNS170" s="2242"/>
      <c r="WNT170" s="1360"/>
      <c r="WNU170" s="1360"/>
      <c r="WNV170" s="1360"/>
      <c r="WNW170" s="1360"/>
      <c r="WNX170" s="1362"/>
      <c r="WNY170" s="955"/>
      <c r="WNZ170" s="963"/>
      <c r="WOA170" s="2242"/>
      <c r="WOB170" s="1360"/>
      <c r="WOC170" s="1360"/>
      <c r="WOD170" s="1360"/>
      <c r="WOE170" s="1360"/>
      <c r="WOF170" s="1362"/>
      <c r="WOG170" s="955"/>
      <c r="WOH170" s="963"/>
      <c r="WOI170" s="2242"/>
      <c r="WOJ170" s="1360"/>
      <c r="WOK170" s="1360"/>
      <c r="WOL170" s="1360"/>
      <c r="WOM170" s="1360"/>
      <c r="WON170" s="1362"/>
      <c r="WOO170" s="955"/>
      <c r="WOP170" s="963"/>
      <c r="WOQ170" s="2242"/>
      <c r="WOR170" s="1360"/>
      <c r="WOS170" s="1360"/>
      <c r="WOT170" s="1360"/>
      <c r="WOU170" s="1360"/>
      <c r="WOV170" s="1362"/>
      <c r="WOW170" s="955"/>
      <c r="WOX170" s="963"/>
      <c r="WOY170" s="2242"/>
      <c r="WOZ170" s="1360"/>
      <c r="WPA170" s="1360"/>
      <c r="WPB170" s="1360"/>
      <c r="WPC170" s="1360"/>
      <c r="WPD170" s="1362"/>
      <c r="WPE170" s="955"/>
      <c r="WPF170" s="963"/>
      <c r="WPG170" s="2242"/>
      <c r="WPH170" s="1360"/>
      <c r="WPI170" s="1360"/>
      <c r="WPJ170" s="1360"/>
      <c r="WPK170" s="1360"/>
      <c r="WPL170" s="1362"/>
      <c r="WPM170" s="955"/>
      <c r="WPN170" s="963"/>
      <c r="WPO170" s="2242"/>
      <c r="WPP170" s="1360"/>
      <c r="WPQ170" s="1360"/>
      <c r="WPR170" s="1360"/>
      <c r="WPS170" s="1360"/>
      <c r="WPT170" s="1362"/>
      <c r="WPU170" s="955"/>
      <c r="WPV170" s="963"/>
      <c r="WPW170" s="2242"/>
      <c r="WPX170" s="1360"/>
      <c r="WPY170" s="1360"/>
      <c r="WPZ170" s="1360"/>
      <c r="WQA170" s="1360"/>
      <c r="WQB170" s="1362"/>
      <c r="WQC170" s="955"/>
      <c r="WQD170" s="963"/>
      <c r="WQE170" s="2242"/>
      <c r="WQF170" s="1360"/>
      <c r="WQG170" s="1360"/>
      <c r="WQH170" s="1360"/>
      <c r="WQI170" s="1360"/>
      <c r="WQJ170" s="1362"/>
      <c r="WQK170" s="955"/>
      <c r="WQL170" s="963"/>
      <c r="WQM170" s="2242"/>
      <c r="WQN170" s="1360"/>
      <c r="WQO170" s="1360"/>
      <c r="WQP170" s="1360"/>
      <c r="WQQ170" s="1360"/>
      <c r="WQR170" s="1362"/>
      <c r="WQS170" s="955"/>
      <c r="WQT170" s="963"/>
      <c r="WQU170" s="2242"/>
      <c r="WQV170" s="1360"/>
      <c r="WQW170" s="1360"/>
      <c r="WQX170" s="1360"/>
      <c r="WQY170" s="1360"/>
      <c r="WQZ170" s="1362"/>
      <c r="WRA170" s="955"/>
      <c r="WRB170" s="963"/>
      <c r="WRC170" s="2242"/>
      <c r="WRD170" s="1360"/>
      <c r="WRE170" s="1360"/>
      <c r="WRF170" s="1360"/>
      <c r="WRG170" s="1360"/>
      <c r="WRH170" s="1362"/>
      <c r="WRI170" s="955"/>
      <c r="WRJ170" s="963"/>
      <c r="WRK170" s="2242"/>
      <c r="WRL170" s="1360"/>
      <c r="WRM170" s="1360"/>
      <c r="WRN170" s="1360"/>
      <c r="WRO170" s="1360"/>
      <c r="WRP170" s="1362"/>
      <c r="WRQ170" s="955"/>
      <c r="WRR170" s="963"/>
      <c r="WRS170" s="2242"/>
      <c r="WRT170" s="1360"/>
      <c r="WRU170" s="1360"/>
      <c r="WRV170" s="1360"/>
      <c r="WRW170" s="1360"/>
      <c r="WRX170" s="1362"/>
      <c r="WRY170" s="955"/>
      <c r="WRZ170" s="963"/>
      <c r="WSA170" s="2242"/>
      <c r="WSB170" s="1360"/>
      <c r="WSC170" s="1360"/>
      <c r="WSD170" s="1360"/>
      <c r="WSE170" s="1360"/>
      <c r="WSF170" s="1362"/>
      <c r="WSG170" s="955"/>
      <c r="WSH170" s="963"/>
      <c r="WSI170" s="2242"/>
      <c r="WSJ170" s="1360"/>
      <c r="WSK170" s="1360"/>
      <c r="WSL170" s="1360"/>
      <c r="WSM170" s="1360"/>
      <c r="WSN170" s="1362"/>
      <c r="WSO170" s="955"/>
      <c r="WSP170" s="963"/>
      <c r="WSQ170" s="2242"/>
      <c r="WSR170" s="1360"/>
      <c r="WSS170" s="1360"/>
      <c r="WST170" s="1360"/>
      <c r="WSU170" s="1360"/>
      <c r="WSV170" s="1362"/>
      <c r="WSW170" s="955"/>
      <c r="WSX170" s="963"/>
      <c r="WSY170" s="2242"/>
      <c r="WSZ170" s="1360"/>
      <c r="WTA170" s="1360"/>
      <c r="WTB170" s="1360"/>
      <c r="WTC170" s="1360"/>
      <c r="WTD170" s="1362"/>
      <c r="WTE170" s="955"/>
      <c r="WTF170" s="963"/>
      <c r="WTG170" s="2242"/>
      <c r="WTH170" s="1360"/>
      <c r="WTI170" s="1360"/>
      <c r="WTJ170" s="1360"/>
      <c r="WTK170" s="1360"/>
      <c r="WTL170" s="1362"/>
      <c r="WTM170" s="955"/>
      <c r="WTN170" s="963"/>
      <c r="WTO170" s="2242"/>
      <c r="WTP170" s="1360"/>
      <c r="WTQ170" s="1360"/>
      <c r="WTR170" s="1360"/>
      <c r="WTS170" s="1360"/>
      <c r="WTT170" s="1362"/>
      <c r="WTU170" s="955"/>
      <c r="WTV170" s="963"/>
      <c r="WTW170" s="2242"/>
      <c r="WTX170" s="1360"/>
      <c r="WTY170" s="1360"/>
      <c r="WTZ170" s="1360"/>
      <c r="WUA170" s="1360"/>
      <c r="WUB170" s="1362"/>
      <c r="WUC170" s="955"/>
      <c r="WUD170" s="963"/>
      <c r="WUE170" s="2242"/>
      <c r="WUF170" s="1360"/>
      <c r="WUG170" s="1360"/>
      <c r="WUH170" s="1360"/>
      <c r="WUI170" s="1360"/>
      <c r="WUJ170" s="1362"/>
      <c r="WUK170" s="955"/>
      <c r="WUL170" s="963"/>
      <c r="WUM170" s="2242"/>
      <c r="WUN170" s="1360"/>
      <c r="WUO170" s="1360"/>
      <c r="WUP170" s="1360"/>
      <c r="WUQ170" s="1360"/>
      <c r="WUR170" s="1362"/>
      <c r="WUS170" s="955"/>
      <c r="WUT170" s="963"/>
      <c r="WUU170" s="2242"/>
      <c r="WUV170" s="1360"/>
      <c r="WUW170" s="1360"/>
      <c r="WUX170" s="1360"/>
      <c r="WUY170" s="1360"/>
      <c r="WUZ170" s="1362"/>
      <c r="WVA170" s="955"/>
      <c r="WVB170" s="963"/>
      <c r="WVC170" s="2242"/>
      <c r="WVD170" s="1360"/>
      <c r="WVE170" s="1360"/>
      <c r="WVF170" s="1360"/>
      <c r="WVG170" s="1360"/>
      <c r="WVH170" s="1362"/>
      <c r="WVI170" s="955"/>
      <c r="WVJ170" s="963"/>
      <c r="WVK170" s="2242"/>
      <c r="WVL170" s="1360"/>
      <c r="WVM170" s="1360"/>
      <c r="WVN170" s="1360"/>
      <c r="WVO170" s="1360"/>
      <c r="WVP170" s="1362"/>
      <c r="WVQ170" s="955"/>
      <c r="WVR170" s="963"/>
      <c r="WVS170" s="2242"/>
      <c r="WVT170" s="1360"/>
      <c r="WVU170" s="1360"/>
      <c r="WVV170" s="1360"/>
      <c r="WVW170" s="1360"/>
      <c r="WVX170" s="1362"/>
      <c r="WVY170" s="955"/>
      <c r="WVZ170" s="963"/>
      <c r="WWA170" s="2242"/>
      <c r="WWB170" s="1360"/>
      <c r="WWC170" s="1360"/>
      <c r="WWD170" s="1360"/>
      <c r="WWE170" s="1360"/>
      <c r="WWF170" s="1362"/>
      <c r="WWG170" s="955"/>
      <c r="WWH170" s="963"/>
      <c r="WWI170" s="2242"/>
      <c r="WWJ170" s="1360"/>
      <c r="WWK170" s="1360"/>
      <c r="WWL170" s="1360"/>
      <c r="WWM170" s="1360"/>
      <c r="WWN170" s="1362"/>
      <c r="WWO170" s="955"/>
      <c r="WWP170" s="963"/>
      <c r="WWQ170" s="2242"/>
      <c r="WWR170" s="1360"/>
      <c r="WWS170" s="1360"/>
      <c r="WWT170" s="1360"/>
      <c r="WWU170" s="1360"/>
      <c r="WWV170" s="1362"/>
      <c r="WWW170" s="955"/>
      <c r="WWX170" s="963"/>
      <c r="WWY170" s="2242"/>
      <c r="WWZ170" s="1360"/>
      <c r="WXA170" s="1360"/>
      <c r="WXB170" s="1360"/>
      <c r="WXC170" s="1360"/>
      <c r="WXD170" s="1362"/>
      <c r="WXE170" s="955"/>
      <c r="WXF170" s="963"/>
      <c r="WXG170" s="2242"/>
      <c r="WXH170" s="1360"/>
      <c r="WXI170" s="1360"/>
      <c r="WXJ170" s="1360"/>
      <c r="WXK170" s="1360"/>
      <c r="WXL170" s="1362"/>
      <c r="WXM170" s="955"/>
      <c r="WXN170" s="963"/>
      <c r="WXO170" s="2242"/>
      <c r="WXP170" s="1360"/>
      <c r="WXQ170" s="1360"/>
      <c r="WXR170" s="1360"/>
      <c r="WXS170" s="1360"/>
      <c r="WXT170" s="1362"/>
      <c r="WXU170" s="955"/>
      <c r="WXV170" s="963"/>
      <c r="WXW170" s="2242"/>
      <c r="WXX170" s="1360"/>
      <c r="WXY170" s="1360"/>
      <c r="WXZ170" s="1360"/>
      <c r="WYA170" s="1360"/>
      <c r="WYB170" s="1362"/>
      <c r="WYC170" s="955"/>
      <c r="WYD170" s="963"/>
      <c r="WYE170" s="2242"/>
      <c r="WYF170" s="1360"/>
      <c r="WYG170" s="1360"/>
      <c r="WYH170" s="1360"/>
      <c r="WYI170" s="1360"/>
      <c r="WYJ170" s="1362"/>
      <c r="WYK170" s="955"/>
      <c r="WYL170" s="963"/>
      <c r="WYM170" s="2242"/>
      <c r="WYN170" s="1360"/>
      <c r="WYO170" s="1360"/>
      <c r="WYP170" s="1360"/>
      <c r="WYQ170" s="1360"/>
      <c r="WYR170" s="1362"/>
      <c r="WYS170" s="955"/>
      <c r="WYT170" s="963"/>
      <c r="WYU170" s="2242"/>
      <c r="WYV170" s="1360"/>
      <c r="WYW170" s="1360"/>
      <c r="WYX170" s="1360"/>
      <c r="WYY170" s="1360"/>
      <c r="WYZ170" s="1362"/>
      <c r="WZA170" s="955"/>
      <c r="WZB170" s="963"/>
      <c r="WZC170" s="2242"/>
      <c r="WZD170" s="1360"/>
      <c r="WZE170" s="1360"/>
      <c r="WZF170" s="1360"/>
      <c r="WZG170" s="1360"/>
      <c r="WZH170" s="1362"/>
      <c r="WZI170" s="955"/>
      <c r="WZJ170" s="963"/>
      <c r="WZK170" s="2242"/>
      <c r="WZL170" s="1360"/>
      <c r="WZM170" s="1360"/>
      <c r="WZN170" s="1360"/>
      <c r="WZO170" s="1360"/>
      <c r="WZP170" s="1362"/>
      <c r="WZQ170" s="955"/>
      <c r="WZR170" s="963"/>
      <c r="WZS170" s="2242"/>
      <c r="WZT170" s="1360"/>
      <c r="WZU170" s="1360"/>
      <c r="WZV170" s="1360"/>
      <c r="WZW170" s="1360"/>
      <c r="WZX170" s="1362"/>
      <c r="WZY170" s="955"/>
      <c r="WZZ170" s="963"/>
      <c r="XAA170" s="2242"/>
      <c r="XAB170" s="1360"/>
      <c r="XAC170" s="1360"/>
      <c r="XAD170" s="1360"/>
      <c r="XAE170" s="1360"/>
      <c r="XAF170" s="1362"/>
      <c r="XAG170" s="955"/>
      <c r="XAH170" s="963"/>
      <c r="XAI170" s="2242"/>
      <c r="XAJ170" s="1360"/>
      <c r="XAK170" s="1360"/>
      <c r="XAL170" s="1360"/>
      <c r="XAM170" s="1360"/>
      <c r="XAN170" s="1362"/>
      <c r="XAO170" s="955"/>
      <c r="XAP170" s="963"/>
      <c r="XAQ170" s="2242"/>
      <c r="XAR170" s="1360"/>
      <c r="XAS170" s="1360"/>
      <c r="XAT170" s="1360"/>
      <c r="XAU170" s="1360"/>
      <c r="XAV170" s="1362"/>
      <c r="XAW170" s="955"/>
      <c r="XAX170" s="963"/>
      <c r="XAY170" s="2242"/>
      <c r="XAZ170" s="1360"/>
      <c r="XBA170" s="1360"/>
      <c r="XBB170" s="1360"/>
      <c r="XBC170" s="1360"/>
      <c r="XBD170" s="1362"/>
      <c r="XBE170" s="955"/>
      <c r="XBF170" s="963"/>
      <c r="XBG170" s="2242"/>
      <c r="XBH170" s="1360"/>
      <c r="XBI170" s="1360"/>
      <c r="XBJ170" s="1360"/>
      <c r="XBK170" s="1360"/>
      <c r="XBL170" s="1362"/>
      <c r="XBM170" s="955"/>
      <c r="XBN170" s="963"/>
      <c r="XBO170" s="2242"/>
      <c r="XBP170" s="1360"/>
      <c r="XBQ170" s="1360"/>
      <c r="XBR170" s="1360"/>
      <c r="XBS170" s="1360"/>
      <c r="XBT170" s="1362"/>
      <c r="XBU170" s="955"/>
      <c r="XBV170" s="963"/>
      <c r="XBW170" s="2242"/>
      <c r="XBX170" s="1360"/>
      <c r="XBY170" s="1360"/>
      <c r="XBZ170" s="1360"/>
      <c r="XCA170" s="1360"/>
      <c r="XCB170" s="1362"/>
      <c r="XCC170" s="955"/>
      <c r="XCD170" s="963"/>
      <c r="XCE170" s="2242"/>
      <c r="XCF170" s="1360"/>
      <c r="XCG170" s="1360"/>
      <c r="XCH170" s="1360"/>
      <c r="XCI170" s="1360"/>
      <c r="XCJ170" s="1362"/>
      <c r="XCK170" s="955"/>
      <c r="XCL170" s="963"/>
      <c r="XCM170" s="2242"/>
      <c r="XCN170" s="1360"/>
      <c r="XCO170" s="1360"/>
      <c r="XCP170" s="1360"/>
      <c r="XCQ170" s="1360"/>
      <c r="XCR170" s="1362"/>
      <c r="XCS170" s="955"/>
      <c r="XCT170" s="963"/>
      <c r="XCU170" s="2242"/>
      <c r="XCV170" s="1360"/>
      <c r="XCW170" s="1360"/>
      <c r="XCX170" s="1360"/>
      <c r="XCY170" s="1360"/>
      <c r="XCZ170" s="1362"/>
      <c r="XDA170" s="955"/>
      <c r="XDB170" s="963"/>
      <c r="XDC170" s="2242"/>
      <c r="XDD170" s="1360"/>
      <c r="XDE170" s="1360"/>
      <c r="XDF170" s="1360"/>
      <c r="XDG170" s="1360"/>
      <c r="XDH170" s="1362"/>
      <c r="XDI170" s="955"/>
      <c r="XDJ170" s="963"/>
      <c r="XDK170" s="2242"/>
      <c r="XDL170" s="1360"/>
      <c r="XDM170" s="1360"/>
      <c r="XDN170" s="1360"/>
      <c r="XDO170" s="1360"/>
      <c r="XDP170" s="1362"/>
      <c r="XDQ170" s="955"/>
      <c r="XDR170" s="963"/>
      <c r="XDS170" s="2242"/>
      <c r="XDT170" s="1360"/>
      <c r="XDU170" s="1360"/>
      <c r="XDV170" s="1360"/>
      <c r="XDW170" s="1360"/>
      <c r="XDX170" s="1362"/>
      <c r="XDY170" s="955"/>
      <c r="XDZ170" s="963"/>
      <c r="XEA170" s="2242"/>
      <c r="XEB170" s="1360"/>
      <c r="XEC170" s="1360"/>
      <c r="XED170" s="1360"/>
      <c r="XEE170" s="1360"/>
      <c r="XEF170" s="1362"/>
      <c r="XEG170" s="955"/>
      <c r="XEH170" s="963"/>
      <c r="XEI170" s="2242"/>
      <c r="XEJ170" s="1360"/>
      <c r="XEK170" s="1360"/>
      <c r="XEL170" s="1360"/>
      <c r="XEM170" s="1360"/>
      <c r="XEN170" s="1362"/>
      <c r="XEO170" s="955"/>
      <c r="XEP170" s="963"/>
      <c r="XEQ170" s="2242"/>
      <c r="XER170" s="1360"/>
      <c r="XES170" s="1360"/>
      <c r="XET170" s="1360"/>
      <c r="XEU170" s="1360"/>
      <c r="XEV170" s="1362"/>
      <c r="XEW170" s="955"/>
      <c r="XEX170" s="963"/>
      <c r="XEY170" s="2242"/>
      <c r="XEZ170" s="1360"/>
      <c r="XFA170" s="1360"/>
      <c r="XFB170" s="1360"/>
      <c r="XFC170" s="1360"/>
      <c r="XFD170" s="1362"/>
    </row>
    <row r="171" spans="1:16384" s="6" customFormat="1" x14ac:dyDescent="0.25">
      <c r="A171" s="256">
        <v>116</v>
      </c>
      <c r="B171" s="256" t="s">
        <v>816</v>
      </c>
      <c r="C171" s="955"/>
      <c r="D171" s="955"/>
      <c r="E171" s="1932" t="s">
        <v>93</v>
      </c>
      <c r="F171" s="1934"/>
      <c r="G171" s="1934">
        <v>116</v>
      </c>
      <c r="H171" s="1934">
        <v>0</v>
      </c>
      <c r="I171" s="1934">
        <v>0</v>
      </c>
      <c r="J171" s="1934">
        <f>SUM(G171:I171)</f>
        <v>116</v>
      </c>
      <c r="K171" s="965"/>
    </row>
    <row r="172" spans="1:16384" s="6" customFormat="1" x14ac:dyDescent="0.25">
      <c r="A172" s="256"/>
      <c r="B172" s="256"/>
      <c r="C172" s="955"/>
      <c r="D172" s="955"/>
      <c r="E172" s="1932" t="s">
        <v>699</v>
      </c>
      <c r="F172" s="1934"/>
      <c r="G172" s="1934">
        <v>100</v>
      </c>
      <c r="H172" s="1934">
        <v>16</v>
      </c>
      <c r="I172" s="1934">
        <v>0</v>
      </c>
      <c r="J172" s="1934">
        <f t="shared" ref="J172:J178" si="3">SUM(G172:I172)</f>
        <v>116</v>
      </c>
      <c r="K172" s="965"/>
    </row>
    <row r="173" spans="1:16384" s="6" customFormat="1" x14ac:dyDescent="0.25">
      <c r="A173" s="256"/>
      <c r="B173" s="256"/>
      <c r="C173" s="955"/>
      <c r="D173" s="955"/>
      <c r="E173" s="1932" t="s">
        <v>262</v>
      </c>
      <c r="F173" s="1934"/>
      <c r="G173" s="1934">
        <v>50</v>
      </c>
      <c r="H173" s="1934">
        <v>66</v>
      </c>
      <c r="I173" s="1934">
        <v>0</v>
      </c>
      <c r="J173" s="1934">
        <f t="shared" si="3"/>
        <v>116</v>
      </c>
      <c r="K173" s="965"/>
    </row>
    <row r="174" spans="1:16384" s="6" customFormat="1" x14ac:dyDescent="0.25">
      <c r="A174" s="256"/>
      <c r="B174" s="256"/>
      <c r="C174" s="955"/>
      <c r="D174" s="955"/>
      <c r="E174" s="1932" t="s">
        <v>348</v>
      </c>
      <c r="F174" s="1934"/>
      <c r="G174" s="1934">
        <v>116</v>
      </c>
      <c r="H174" s="1934">
        <v>0</v>
      </c>
      <c r="I174" s="1934">
        <v>0</v>
      </c>
      <c r="J174" s="1934">
        <f t="shared" si="3"/>
        <v>116</v>
      </c>
      <c r="K174" s="965"/>
    </row>
    <row r="175" spans="1:16384" s="6" customFormat="1" x14ac:dyDescent="0.25">
      <c r="A175" s="256">
        <v>140</v>
      </c>
      <c r="B175" s="256" t="s">
        <v>817</v>
      </c>
      <c r="C175" s="955"/>
      <c r="D175" s="955"/>
      <c r="E175" s="1932" t="s">
        <v>319</v>
      </c>
      <c r="F175" s="1934"/>
      <c r="G175" s="1934">
        <v>50</v>
      </c>
      <c r="H175" s="1934">
        <v>50</v>
      </c>
      <c r="I175" s="1934">
        <v>40</v>
      </c>
      <c r="J175" s="1934">
        <f t="shared" si="3"/>
        <v>140</v>
      </c>
      <c r="K175" s="965"/>
    </row>
    <row r="176" spans="1:16384" s="6" customFormat="1" x14ac:dyDescent="0.25">
      <c r="A176" s="256">
        <v>138</v>
      </c>
      <c r="B176" s="257" t="s">
        <v>818</v>
      </c>
      <c r="C176" s="955"/>
      <c r="D176" s="955"/>
      <c r="E176" s="1932" t="s">
        <v>700</v>
      </c>
      <c r="F176" s="1934"/>
      <c r="G176" s="1934">
        <v>138</v>
      </c>
      <c r="H176" s="1934">
        <v>0</v>
      </c>
      <c r="I176" s="1934">
        <v>0</v>
      </c>
      <c r="J176" s="1934">
        <f t="shared" si="3"/>
        <v>138</v>
      </c>
      <c r="K176" s="965"/>
    </row>
    <row r="177" spans="1:16384" s="6" customFormat="1" ht="28.5" customHeight="1" x14ac:dyDescent="0.25">
      <c r="A177" s="256">
        <v>128</v>
      </c>
      <c r="B177" s="256" t="s">
        <v>819</v>
      </c>
      <c r="C177" s="955"/>
      <c r="D177" s="955"/>
      <c r="E177" s="2243" t="s">
        <v>701</v>
      </c>
      <c r="F177" s="2243"/>
      <c r="G177" s="1932">
        <v>128</v>
      </c>
      <c r="H177" s="1934">
        <v>0</v>
      </c>
      <c r="I177" s="1934">
        <v>0</v>
      </c>
      <c r="J177" s="1934">
        <f t="shared" si="3"/>
        <v>128</v>
      </c>
      <c r="K177" s="965"/>
    </row>
    <row r="178" spans="1:16384" s="6" customFormat="1" x14ac:dyDescent="0.25">
      <c r="A178" s="256">
        <v>131</v>
      </c>
      <c r="B178" s="256">
        <v>55</v>
      </c>
      <c r="C178" s="955"/>
      <c r="D178" s="955"/>
      <c r="E178" s="1932" t="s">
        <v>702</v>
      </c>
      <c r="F178" s="1932"/>
      <c r="G178" s="1934">
        <v>131</v>
      </c>
      <c r="H178" s="1934">
        <v>0</v>
      </c>
      <c r="I178" s="1934">
        <v>0</v>
      </c>
      <c r="J178" s="1934">
        <f t="shared" si="3"/>
        <v>131</v>
      </c>
      <c r="K178" s="965"/>
    </row>
    <row r="179" spans="1:16384" s="6" customFormat="1" x14ac:dyDescent="0.25">
      <c r="A179" s="256"/>
      <c r="B179" s="256"/>
      <c r="C179" s="955"/>
      <c r="D179" s="955"/>
      <c r="E179" s="1939" t="s">
        <v>748</v>
      </c>
      <c r="F179" s="1934"/>
      <c r="G179" s="1940">
        <f t="shared" ref="G179:H179" si="4">SUM(G171:G178)</f>
        <v>829</v>
      </c>
      <c r="H179" s="1940">
        <f t="shared" si="4"/>
        <v>132</v>
      </c>
      <c r="I179" s="1940">
        <f>SUM(I171:I178)</f>
        <v>40</v>
      </c>
      <c r="J179" s="1941">
        <f>SUM(J171:J178)</f>
        <v>1001</v>
      </c>
      <c r="K179" s="965"/>
    </row>
    <row r="180" spans="1:16384" s="6" customFormat="1" ht="8.1" customHeight="1" x14ac:dyDescent="0.25">
      <c r="A180" s="256"/>
      <c r="B180" s="256"/>
      <c r="C180" s="955"/>
      <c r="D180" s="955"/>
      <c r="E180" s="1932"/>
      <c r="F180" s="1934"/>
      <c r="G180" s="1934"/>
      <c r="H180" s="1934"/>
      <c r="I180" s="1934"/>
      <c r="J180" s="1942"/>
      <c r="K180" s="965"/>
    </row>
    <row r="181" spans="1:16384" s="6" customFormat="1" x14ac:dyDescent="0.25">
      <c r="A181" s="256"/>
      <c r="B181" s="256"/>
      <c r="C181" s="955"/>
      <c r="D181" s="955"/>
      <c r="E181" s="1937" t="s">
        <v>697</v>
      </c>
      <c r="F181" s="1934"/>
      <c r="G181" s="1934"/>
      <c r="H181" s="1934"/>
      <c r="I181" s="1934"/>
      <c r="J181" s="1942"/>
      <c r="K181" s="965"/>
    </row>
    <row r="182" spans="1:16384" s="6" customFormat="1" ht="29.25" customHeight="1" x14ac:dyDescent="0.25">
      <c r="A182" s="256">
        <v>101</v>
      </c>
      <c r="B182" s="256" t="s">
        <v>1552</v>
      </c>
      <c r="C182" s="955"/>
      <c r="D182" s="955"/>
      <c r="E182" s="2243" t="s">
        <v>704</v>
      </c>
      <c r="F182" s="2243"/>
      <c r="G182" s="1932"/>
      <c r="H182" s="1934"/>
      <c r="I182" s="1934"/>
      <c r="J182" s="1942"/>
      <c r="K182" s="965"/>
    </row>
    <row r="183" spans="1:16384" s="6" customFormat="1" x14ac:dyDescent="0.25">
      <c r="A183" s="256"/>
      <c r="B183" s="256"/>
      <c r="C183" s="955"/>
      <c r="D183" s="955"/>
      <c r="E183" s="1932" t="s">
        <v>1722</v>
      </c>
      <c r="F183" s="1933"/>
      <c r="G183" s="1933">
        <v>200</v>
      </c>
      <c r="H183" s="1934">
        <v>800</v>
      </c>
      <c r="I183" s="1934">
        <v>1063</v>
      </c>
      <c r="J183" s="1942">
        <f>SUM(G183:I183)</f>
        <v>2063</v>
      </c>
      <c r="K183" s="1390"/>
    </row>
    <row r="184" spans="1:16384" s="6" customFormat="1" x14ac:dyDescent="0.25">
      <c r="A184" s="256"/>
      <c r="B184" s="256"/>
      <c r="C184" s="955"/>
      <c r="D184" s="955"/>
      <c r="E184" s="1932" t="s">
        <v>698</v>
      </c>
      <c r="F184" s="1934"/>
      <c r="G184" s="1934">
        <v>20</v>
      </c>
      <c r="H184" s="1934">
        <v>81</v>
      </c>
      <c r="I184" s="1934">
        <v>0</v>
      </c>
      <c r="J184" s="1942">
        <f>SUM(G184:I184)</f>
        <v>101</v>
      </c>
      <c r="K184" s="965"/>
    </row>
    <row r="185" spans="1:16384" s="6" customFormat="1" x14ac:dyDescent="0.25">
      <c r="A185" s="256"/>
      <c r="B185" s="256"/>
      <c r="C185" s="955"/>
      <c r="D185" s="955"/>
      <c r="E185" s="1939" t="s">
        <v>747</v>
      </c>
      <c r="F185" s="1934"/>
      <c r="G185" s="1941">
        <f t="shared" ref="G185:I185" si="5">SUM(G183:G184)</f>
        <v>220</v>
      </c>
      <c r="H185" s="1941">
        <f t="shared" si="5"/>
        <v>881</v>
      </c>
      <c r="I185" s="1941">
        <f t="shared" si="5"/>
        <v>1063</v>
      </c>
      <c r="J185" s="1941">
        <f>SUM(J183:J184)</f>
        <v>2164</v>
      </c>
      <c r="K185" s="965"/>
    </row>
    <row r="186" spans="1:16384" s="6" customFormat="1" x14ac:dyDescent="0.25">
      <c r="A186" s="1916"/>
      <c r="B186" s="1916"/>
      <c r="C186" s="955"/>
      <c r="D186" s="955"/>
      <c r="E186" s="1939"/>
      <c r="F186" s="1934"/>
      <c r="G186" s="1943"/>
      <c r="H186" s="1943"/>
      <c r="I186" s="1943"/>
      <c r="J186" s="1943"/>
      <c r="K186" s="965"/>
    </row>
    <row r="187" spans="1:16384" s="6" customFormat="1" x14ac:dyDescent="0.25">
      <c r="A187" s="1916"/>
      <c r="B187" s="1916"/>
      <c r="C187" s="955"/>
      <c r="D187" s="955"/>
      <c r="E187" s="1939"/>
      <c r="F187" s="1934"/>
      <c r="G187" s="1943"/>
      <c r="H187" s="1943"/>
      <c r="I187" s="1943"/>
      <c r="J187" s="1943"/>
      <c r="K187" s="965"/>
    </row>
    <row r="188" spans="1:16384" s="6" customFormat="1" ht="51" customHeight="1" x14ac:dyDescent="0.25">
      <c r="A188" s="955"/>
      <c r="B188" s="963"/>
      <c r="C188" s="2242"/>
      <c r="D188" s="1360"/>
      <c r="E188" s="1935">
        <v>2023</v>
      </c>
      <c r="F188" s="486"/>
      <c r="G188" s="1936" t="s">
        <v>1947</v>
      </c>
      <c r="H188" s="1936" t="s">
        <v>1948</v>
      </c>
      <c r="I188" s="1936" t="s">
        <v>1661</v>
      </c>
      <c r="J188" s="1930" t="s">
        <v>103</v>
      </c>
      <c r="K188" s="2242"/>
      <c r="L188" s="1360"/>
      <c r="M188" s="955"/>
      <c r="N188" s="1361"/>
      <c r="O188" s="1360"/>
      <c r="P188" s="1925"/>
      <c r="Q188" s="955"/>
      <c r="R188" s="963"/>
      <c r="S188" s="2242"/>
      <c r="T188" s="1360"/>
      <c r="U188" s="955"/>
      <c r="V188" s="1361"/>
      <c r="W188" s="1360"/>
      <c r="X188" s="1925"/>
      <c r="Y188" s="955"/>
      <c r="Z188" s="963"/>
      <c r="AA188" s="2242"/>
      <c r="AB188" s="1360"/>
      <c r="AC188" s="955"/>
      <c r="AD188" s="1361"/>
      <c r="AE188" s="1360"/>
      <c r="AF188" s="1925"/>
      <c r="AG188" s="955"/>
      <c r="AH188" s="963"/>
      <c r="AI188" s="2242"/>
      <c r="AJ188" s="1360"/>
      <c r="AK188" s="955"/>
      <c r="AL188" s="1361"/>
      <c r="AM188" s="1360"/>
      <c r="AN188" s="1925"/>
      <c r="AO188" s="955"/>
      <c r="AP188" s="963"/>
      <c r="AQ188" s="2242"/>
      <c r="AR188" s="1360"/>
      <c r="AS188" s="955"/>
      <c r="AT188" s="1361"/>
      <c r="AU188" s="1360"/>
      <c r="AV188" s="1925"/>
      <c r="AW188" s="955"/>
      <c r="AX188" s="963"/>
      <c r="AY188" s="2242"/>
      <c r="AZ188" s="1360"/>
      <c r="BA188" s="955"/>
      <c r="BB188" s="1361"/>
      <c r="BC188" s="1360"/>
      <c r="BD188" s="1925"/>
      <c r="BE188" s="955"/>
      <c r="BF188" s="963"/>
      <c r="BG188" s="2242"/>
      <c r="BH188" s="1360"/>
      <c r="BI188" s="955"/>
      <c r="BJ188" s="1361"/>
      <c r="BK188" s="1360"/>
      <c r="BL188" s="1925"/>
      <c r="BM188" s="955"/>
      <c r="BN188" s="963"/>
      <c r="BO188" s="2242"/>
      <c r="BP188" s="1360"/>
      <c r="BQ188" s="955"/>
      <c r="BR188" s="1361"/>
      <c r="BS188" s="1360"/>
      <c r="BT188" s="1925"/>
      <c r="BU188" s="955"/>
      <c r="BV188" s="963"/>
      <c r="BW188" s="2242"/>
      <c r="BX188" s="1360"/>
      <c r="BY188" s="955"/>
      <c r="BZ188" s="1361"/>
      <c r="CA188" s="1360"/>
      <c r="CB188" s="1925"/>
      <c r="CC188" s="955"/>
      <c r="CD188" s="963"/>
      <c r="CE188" s="2242"/>
      <c r="CF188" s="1360"/>
      <c r="CG188" s="955"/>
      <c r="CH188" s="1361"/>
      <c r="CI188" s="1360"/>
      <c r="CJ188" s="1925"/>
      <c r="CK188" s="955"/>
      <c r="CL188" s="963"/>
      <c r="CM188" s="2242"/>
      <c r="CN188" s="1360"/>
      <c r="CO188" s="955"/>
      <c r="CP188" s="1361"/>
      <c r="CQ188" s="1360"/>
      <c r="CR188" s="1925"/>
      <c r="CS188" s="955"/>
      <c r="CT188" s="963"/>
      <c r="CU188" s="2242"/>
      <c r="CV188" s="1360"/>
      <c r="CW188" s="955"/>
      <c r="CX188" s="1361"/>
      <c r="CY188" s="1360"/>
      <c r="CZ188" s="1925"/>
      <c r="DA188" s="955"/>
      <c r="DB188" s="963"/>
      <c r="DC188" s="2242"/>
      <c r="DD188" s="1360"/>
      <c r="DE188" s="955"/>
      <c r="DF188" s="1361"/>
      <c r="DG188" s="1360"/>
      <c r="DH188" s="1925"/>
      <c r="DI188" s="955"/>
      <c r="DJ188" s="963"/>
      <c r="DK188" s="2242"/>
      <c r="DL188" s="1360"/>
      <c r="DM188" s="955"/>
      <c r="DN188" s="1361"/>
      <c r="DO188" s="1360"/>
      <c r="DP188" s="1925"/>
      <c r="DQ188" s="955"/>
      <c r="DR188" s="963"/>
      <c r="DS188" s="2242"/>
      <c r="DT188" s="1360"/>
      <c r="DU188" s="955"/>
      <c r="DV188" s="1361"/>
      <c r="DW188" s="1360"/>
      <c r="DX188" s="1925"/>
      <c r="DY188" s="955"/>
      <c r="DZ188" s="963"/>
      <c r="EA188" s="2242"/>
      <c r="EB188" s="1360"/>
      <c r="EC188" s="955"/>
      <c r="ED188" s="1361"/>
      <c r="EE188" s="1360"/>
      <c r="EF188" s="1925"/>
      <c r="EG188" s="955"/>
      <c r="EH188" s="963"/>
      <c r="EI188" s="2242"/>
      <c r="EJ188" s="1360"/>
      <c r="EK188" s="955"/>
      <c r="EL188" s="1361"/>
      <c r="EM188" s="1360"/>
      <c r="EN188" s="1925"/>
      <c r="EO188" s="955"/>
      <c r="EP188" s="963"/>
      <c r="EQ188" s="2242"/>
      <c r="ER188" s="1360"/>
      <c r="ES188" s="955"/>
      <c r="ET188" s="1361"/>
      <c r="EU188" s="1360"/>
      <c r="EV188" s="1925"/>
      <c r="EW188" s="955"/>
      <c r="EX188" s="963"/>
      <c r="EY188" s="2242"/>
      <c r="EZ188" s="1360"/>
      <c r="FA188" s="955"/>
      <c r="FB188" s="1361"/>
      <c r="FC188" s="1360"/>
      <c r="FD188" s="1925"/>
      <c r="FE188" s="955"/>
      <c r="FF188" s="963"/>
      <c r="FG188" s="2242"/>
      <c r="FH188" s="1360"/>
      <c r="FI188" s="955"/>
      <c r="FJ188" s="1361"/>
      <c r="FK188" s="1360"/>
      <c r="FL188" s="1925"/>
      <c r="FM188" s="955"/>
      <c r="FN188" s="963"/>
      <c r="FO188" s="2242"/>
      <c r="FP188" s="1360"/>
      <c r="FQ188" s="955"/>
      <c r="FR188" s="1361"/>
      <c r="FS188" s="1360"/>
      <c r="FT188" s="1925"/>
      <c r="FU188" s="955"/>
      <c r="FV188" s="963"/>
      <c r="FW188" s="2242"/>
      <c r="FX188" s="1360"/>
      <c r="FY188" s="955"/>
      <c r="FZ188" s="1361"/>
      <c r="GA188" s="1360"/>
      <c r="GB188" s="1925"/>
      <c r="GC188" s="955"/>
      <c r="GD188" s="963"/>
      <c r="GE188" s="2242"/>
      <c r="GF188" s="1360"/>
      <c r="GG188" s="955"/>
      <c r="GH188" s="1361"/>
      <c r="GI188" s="1360"/>
      <c r="GJ188" s="1925"/>
      <c r="GK188" s="955"/>
      <c r="GL188" s="963"/>
      <c r="GM188" s="2242"/>
      <c r="GN188" s="1360"/>
      <c r="GO188" s="955"/>
      <c r="GP188" s="1361"/>
      <c r="GQ188" s="1360"/>
      <c r="GR188" s="1925"/>
      <c r="GS188" s="955"/>
      <c r="GT188" s="963"/>
      <c r="GU188" s="2242"/>
      <c r="GV188" s="1360"/>
      <c r="GW188" s="955"/>
      <c r="GX188" s="1361"/>
      <c r="GY188" s="1360"/>
      <c r="GZ188" s="1925"/>
      <c r="HA188" s="955"/>
      <c r="HB188" s="963"/>
      <c r="HC188" s="2242"/>
      <c r="HD188" s="1360"/>
      <c r="HE188" s="955"/>
      <c r="HF188" s="1361"/>
      <c r="HG188" s="1360"/>
      <c r="HH188" s="1925"/>
      <c r="HI188" s="955"/>
      <c r="HJ188" s="963"/>
      <c r="HK188" s="2242"/>
      <c r="HL188" s="1360"/>
      <c r="HM188" s="955"/>
      <c r="HN188" s="1361"/>
      <c r="HO188" s="1360"/>
      <c r="HP188" s="1925"/>
      <c r="HQ188" s="955"/>
      <c r="HR188" s="963"/>
      <c r="HS188" s="2242"/>
      <c r="HT188" s="1360"/>
      <c r="HU188" s="955"/>
      <c r="HV188" s="1361"/>
      <c r="HW188" s="1360"/>
      <c r="HX188" s="1925"/>
      <c r="HY188" s="955"/>
      <c r="HZ188" s="963"/>
      <c r="IA188" s="2242"/>
      <c r="IB188" s="1360"/>
      <c r="IC188" s="955"/>
      <c r="ID188" s="1361"/>
      <c r="IE188" s="1360"/>
      <c r="IF188" s="1925"/>
      <c r="IG188" s="955"/>
      <c r="IH188" s="963"/>
      <c r="II188" s="2242"/>
      <c r="IJ188" s="1360"/>
      <c r="IK188" s="955"/>
      <c r="IL188" s="1361"/>
      <c r="IM188" s="1360"/>
      <c r="IN188" s="1925"/>
      <c r="IO188" s="955"/>
      <c r="IP188" s="963"/>
      <c r="IQ188" s="2242"/>
      <c r="IR188" s="1360"/>
      <c r="IS188" s="955"/>
      <c r="IT188" s="1361"/>
      <c r="IU188" s="1360"/>
      <c r="IV188" s="1925"/>
      <c r="IW188" s="955"/>
      <c r="IX188" s="963"/>
      <c r="IY188" s="2242"/>
      <c r="IZ188" s="1360"/>
      <c r="JA188" s="955"/>
      <c r="JB188" s="1361"/>
      <c r="JC188" s="1360"/>
      <c r="JD188" s="1925"/>
      <c r="JE188" s="955"/>
      <c r="JF188" s="963"/>
      <c r="JG188" s="2242"/>
      <c r="JH188" s="1360"/>
      <c r="JI188" s="955"/>
      <c r="JJ188" s="1361"/>
      <c r="JK188" s="1360"/>
      <c r="JL188" s="1925"/>
      <c r="JM188" s="955"/>
      <c r="JN188" s="963"/>
      <c r="JO188" s="2242"/>
      <c r="JP188" s="1360"/>
      <c r="JQ188" s="955"/>
      <c r="JR188" s="1361"/>
      <c r="JS188" s="1360"/>
      <c r="JT188" s="1925"/>
      <c r="JU188" s="955"/>
      <c r="JV188" s="963"/>
      <c r="JW188" s="2242"/>
      <c r="JX188" s="1360"/>
      <c r="JY188" s="955"/>
      <c r="JZ188" s="1361"/>
      <c r="KA188" s="1360"/>
      <c r="KB188" s="1925"/>
      <c r="KC188" s="955"/>
      <c r="KD188" s="963"/>
      <c r="KE188" s="2242"/>
      <c r="KF188" s="1360"/>
      <c r="KG188" s="955"/>
      <c r="KH188" s="1361"/>
      <c r="KI188" s="1360"/>
      <c r="KJ188" s="1925"/>
      <c r="KK188" s="955"/>
      <c r="KL188" s="963"/>
      <c r="KM188" s="2242"/>
      <c r="KN188" s="1360"/>
      <c r="KO188" s="955"/>
      <c r="KP188" s="1361"/>
      <c r="KQ188" s="1360"/>
      <c r="KR188" s="1925"/>
      <c r="KS188" s="955"/>
      <c r="KT188" s="963"/>
      <c r="KU188" s="2242"/>
      <c r="KV188" s="1360"/>
      <c r="KW188" s="955"/>
      <c r="KX188" s="1361"/>
      <c r="KY188" s="1360"/>
      <c r="KZ188" s="1925"/>
      <c r="LA188" s="955"/>
      <c r="LB188" s="963"/>
      <c r="LC188" s="2242"/>
      <c r="LD188" s="1360"/>
      <c r="LE188" s="955"/>
      <c r="LF188" s="1361"/>
      <c r="LG188" s="1360"/>
      <c r="LH188" s="1925"/>
      <c r="LI188" s="955"/>
      <c r="LJ188" s="963"/>
      <c r="LK188" s="2242"/>
      <c r="LL188" s="1360"/>
      <c r="LM188" s="955"/>
      <c r="LN188" s="1361"/>
      <c r="LO188" s="1360"/>
      <c r="LP188" s="1925"/>
      <c r="LQ188" s="955"/>
      <c r="LR188" s="963"/>
      <c r="LS188" s="2242"/>
      <c r="LT188" s="1360"/>
      <c r="LU188" s="955"/>
      <c r="LV188" s="1361"/>
      <c r="LW188" s="1360"/>
      <c r="LX188" s="1925"/>
      <c r="LY188" s="955"/>
      <c r="LZ188" s="963"/>
      <c r="MA188" s="2242"/>
      <c r="MB188" s="1360"/>
      <c r="MC188" s="955"/>
      <c r="MD188" s="1361"/>
      <c r="ME188" s="1360"/>
      <c r="MF188" s="1925"/>
      <c r="MG188" s="955"/>
      <c r="MH188" s="963"/>
      <c r="MI188" s="2242"/>
      <c r="MJ188" s="1360"/>
      <c r="MK188" s="955"/>
      <c r="ML188" s="1361"/>
      <c r="MM188" s="1360"/>
      <c r="MN188" s="1925"/>
      <c r="MO188" s="955"/>
      <c r="MP188" s="963"/>
      <c r="MQ188" s="2242"/>
      <c r="MR188" s="1360"/>
      <c r="MS188" s="955"/>
      <c r="MT188" s="1361"/>
      <c r="MU188" s="1360"/>
      <c r="MV188" s="1925"/>
      <c r="MW188" s="955"/>
      <c r="MX188" s="963"/>
      <c r="MY188" s="2242"/>
      <c r="MZ188" s="1360"/>
      <c r="NA188" s="955"/>
      <c r="NB188" s="1361"/>
      <c r="NC188" s="1360"/>
      <c r="ND188" s="1925"/>
      <c r="NE188" s="955"/>
      <c r="NF188" s="963"/>
      <c r="NG188" s="2242"/>
      <c r="NH188" s="1360"/>
      <c r="NI188" s="955"/>
      <c r="NJ188" s="1361"/>
      <c r="NK188" s="1360"/>
      <c r="NL188" s="1925"/>
      <c r="NM188" s="955"/>
      <c r="NN188" s="963"/>
      <c r="NO188" s="2242"/>
      <c r="NP188" s="1360"/>
      <c r="NQ188" s="955"/>
      <c r="NR188" s="1361"/>
      <c r="NS188" s="1360"/>
      <c r="NT188" s="1925"/>
      <c r="NU188" s="955"/>
      <c r="NV188" s="963"/>
      <c r="NW188" s="2242"/>
      <c r="NX188" s="1360"/>
      <c r="NY188" s="955"/>
      <c r="NZ188" s="1361"/>
      <c r="OA188" s="1360"/>
      <c r="OB188" s="1925"/>
      <c r="OC188" s="955"/>
      <c r="OD188" s="963"/>
      <c r="OE188" s="2242"/>
      <c r="OF188" s="1360"/>
      <c r="OG188" s="955"/>
      <c r="OH188" s="1361"/>
      <c r="OI188" s="1360"/>
      <c r="OJ188" s="1925"/>
      <c r="OK188" s="955"/>
      <c r="OL188" s="963"/>
      <c r="OM188" s="2242"/>
      <c r="ON188" s="1360"/>
      <c r="OO188" s="955"/>
      <c r="OP188" s="1361"/>
      <c r="OQ188" s="1360"/>
      <c r="OR188" s="1925"/>
      <c r="OS188" s="955"/>
      <c r="OT188" s="963"/>
      <c r="OU188" s="2242"/>
      <c r="OV188" s="1360"/>
      <c r="OW188" s="955"/>
      <c r="OX188" s="1361"/>
      <c r="OY188" s="1360"/>
      <c r="OZ188" s="1925"/>
      <c r="PA188" s="955"/>
      <c r="PB188" s="963"/>
      <c r="PC188" s="2242"/>
      <c r="PD188" s="1360"/>
      <c r="PE188" s="955"/>
      <c r="PF188" s="1361"/>
      <c r="PG188" s="1360"/>
      <c r="PH188" s="1925"/>
      <c r="PI188" s="955"/>
      <c r="PJ188" s="963"/>
      <c r="PK188" s="2242"/>
      <c r="PL188" s="1360"/>
      <c r="PM188" s="955"/>
      <c r="PN188" s="1361"/>
      <c r="PO188" s="1360"/>
      <c r="PP188" s="1925"/>
      <c r="PQ188" s="955"/>
      <c r="PR188" s="963"/>
      <c r="PS188" s="2242"/>
      <c r="PT188" s="1360"/>
      <c r="PU188" s="955"/>
      <c r="PV188" s="1361"/>
      <c r="PW188" s="1360"/>
      <c r="PX188" s="1925"/>
      <c r="PY188" s="955"/>
      <c r="PZ188" s="963"/>
      <c r="QA188" s="2242"/>
      <c r="QB188" s="1360"/>
      <c r="QC188" s="955"/>
      <c r="QD188" s="1361"/>
      <c r="QE188" s="1360"/>
      <c r="QF188" s="1925"/>
      <c r="QG188" s="955"/>
      <c r="QH188" s="963"/>
      <c r="QI188" s="2242"/>
      <c r="QJ188" s="1360"/>
      <c r="QK188" s="955"/>
      <c r="QL188" s="1361"/>
      <c r="QM188" s="1360"/>
      <c r="QN188" s="1925"/>
      <c r="QO188" s="955"/>
      <c r="QP188" s="963"/>
      <c r="QQ188" s="2242"/>
      <c r="QR188" s="1360"/>
      <c r="QS188" s="955"/>
      <c r="QT188" s="1361"/>
      <c r="QU188" s="1360"/>
      <c r="QV188" s="1925"/>
      <c r="QW188" s="955"/>
      <c r="QX188" s="963"/>
      <c r="QY188" s="2242"/>
      <c r="QZ188" s="1360"/>
      <c r="RA188" s="955"/>
      <c r="RB188" s="1361"/>
      <c r="RC188" s="1360"/>
      <c r="RD188" s="1925"/>
      <c r="RE188" s="955"/>
      <c r="RF188" s="963"/>
      <c r="RG188" s="2242"/>
      <c r="RH188" s="1360"/>
      <c r="RI188" s="955"/>
      <c r="RJ188" s="1361"/>
      <c r="RK188" s="1360"/>
      <c r="RL188" s="1925"/>
      <c r="RM188" s="955"/>
      <c r="RN188" s="963"/>
      <c r="RO188" s="2242"/>
      <c r="RP188" s="1360"/>
      <c r="RQ188" s="955"/>
      <c r="RR188" s="1361"/>
      <c r="RS188" s="1360"/>
      <c r="RT188" s="1925"/>
      <c r="RU188" s="955"/>
      <c r="RV188" s="963"/>
      <c r="RW188" s="2242"/>
      <c r="RX188" s="1360"/>
      <c r="RY188" s="955"/>
      <c r="RZ188" s="1361"/>
      <c r="SA188" s="1360"/>
      <c r="SB188" s="1925"/>
      <c r="SC188" s="955"/>
      <c r="SD188" s="963"/>
      <c r="SE188" s="2242"/>
      <c r="SF188" s="1360"/>
      <c r="SG188" s="955"/>
      <c r="SH188" s="1361"/>
      <c r="SI188" s="1360"/>
      <c r="SJ188" s="1925"/>
      <c r="SK188" s="955"/>
      <c r="SL188" s="963"/>
      <c r="SM188" s="2242"/>
      <c r="SN188" s="1360"/>
      <c r="SO188" s="955"/>
      <c r="SP188" s="1361"/>
      <c r="SQ188" s="1360"/>
      <c r="SR188" s="1925"/>
      <c r="SS188" s="955"/>
      <c r="ST188" s="963"/>
      <c r="SU188" s="2242"/>
      <c r="SV188" s="1360"/>
      <c r="SW188" s="955"/>
      <c r="SX188" s="1361"/>
      <c r="SY188" s="1360"/>
      <c r="SZ188" s="1925"/>
      <c r="TA188" s="955"/>
      <c r="TB188" s="963"/>
      <c r="TC188" s="2242"/>
      <c r="TD188" s="1360"/>
      <c r="TE188" s="955"/>
      <c r="TF188" s="1361"/>
      <c r="TG188" s="1360"/>
      <c r="TH188" s="1925"/>
      <c r="TI188" s="955"/>
      <c r="TJ188" s="963"/>
      <c r="TK188" s="2242"/>
      <c r="TL188" s="1360"/>
      <c r="TM188" s="955"/>
      <c r="TN188" s="1361"/>
      <c r="TO188" s="1360"/>
      <c r="TP188" s="1925"/>
      <c r="TQ188" s="955"/>
      <c r="TR188" s="963"/>
      <c r="TS188" s="2242"/>
      <c r="TT188" s="1360"/>
      <c r="TU188" s="955"/>
      <c r="TV188" s="1361"/>
      <c r="TW188" s="1360"/>
      <c r="TX188" s="1925"/>
      <c r="TY188" s="955"/>
      <c r="TZ188" s="963"/>
      <c r="UA188" s="2242"/>
      <c r="UB188" s="1360"/>
      <c r="UC188" s="955"/>
      <c r="UD188" s="1361"/>
      <c r="UE188" s="1360"/>
      <c r="UF188" s="1925"/>
      <c r="UG188" s="955"/>
      <c r="UH188" s="963"/>
      <c r="UI188" s="2242"/>
      <c r="UJ188" s="1360"/>
      <c r="UK188" s="955"/>
      <c r="UL188" s="1361"/>
      <c r="UM188" s="1360"/>
      <c r="UN188" s="1925"/>
      <c r="UO188" s="955"/>
      <c r="UP188" s="963"/>
      <c r="UQ188" s="2242"/>
      <c r="UR188" s="1360"/>
      <c r="US188" s="955"/>
      <c r="UT188" s="1361"/>
      <c r="UU188" s="1360"/>
      <c r="UV188" s="1925"/>
      <c r="UW188" s="955"/>
      <c r="UX188" s="963"/>
      <c r="UY188" s="2242"/>
      <c r="UZ188" s="1360"/>
      <c r="VA188" s="955"/>
      <c r="VB188" s="1361"/>
      <c r="VC188" s="1360"/>
      <c r="VD188" s="1925"/>
      <c r="VE188" s="955"/>
      <c r="VF188" s="963"/>
      <c r="VG188" s="2242"/>
      <c r="VH188" s="1360"/>
      <c r="VI188" s="955"/>
      <c r="VJ188" s="1361"/>
      <c r="VK188" s="1360"/>
      <c r="VL188" s="1925"/>
      <c r="VM188" s="955"/>
      <c r="VN188" s="963"/>
      <c r="VO188" s="2242"/>
      <c r="VP188" s="1360"/>
      <c r="VQ188" s="955"/>
      <c r="VR188" s="1361"/>
      <c r="VS188" s="1360"/>
      <c r="VT188" s="1925"/>
      <c r="VU188" s="955"/>
      <c r="VV188" s="963"/>
      <c r="VW188" s="2242"/>
      <c r="VX188" s="1360"/>
      <c r="VY188" s="955"/>
      <c r="VZ188" s="1361"/>
      <c r="WA188" s="1360"/>
      <c r="WB188" s="1925"/>
      <c r="WC188" s="955"/>
      <c r="WD188" s="963"/>
      <c r="WE188" s="2242"/>
      <c r="WF188" s="1360"/>
      <c r="WG188" s="955"/>
      <c r="WH188" s="1361"/>
      <c r="WI188" s="1360"/>
      <c r="WJ188" s="1925"/>
      <c r="WK188" s="955"/>
      <c r="WL188" s="963"/>
      <c r="WM188" s="2242"/>
      <c r="WN188" s="1360"/>
      <c r="WO188" s="955"/>
      <c r="WP188" s="1361"/>
      <c r="WQ188" s="1360"/>
      <c r="WR188" s="1925"/>
      <c r="WS188" s="955"/>
      <c r="WT188" s="963"/>
      <c r="WU188" s="2242"/>
      <c r="WV188" s="1360"/>
      <c r="WW188" s="955"/>
      <c r="WX188" s="1361"/>
      <c r="WY188" s="1360"/>
      <c r="WZ188" s="1925"/>
      <c r="XA188" s="955"/>
      <c r="XB188" s="963"/>
      <c r="XC188" s="2242"/>
      <c r="XD188" s="1360"/>
      <c r="XE188" s="955"/>
      <c r="XF188" s="1361"/>
      <c r="XG188" s="1360"/>
      <c r="XH188" s="1925"/>
      <c r="XI188" s="955"/>
      <c r="XJ188" s="963"/>
      <c r="XK188" s="2242"/>
      <c r="XL188" s="1360"/>
      <c r="XM188" s="955"/>
      <c r="XN188" s="1361"/>
      <c r="XO188" s="1360"/>
      <c r="XP188" s="1925"/>
      <c r="XQ188" s="955"/>
      <c r="XR188" s="963"/>
      <c r="XS188" s="2242"/>
      <c r="XT188" s="1360"/>
      <c r="XU188" s="955"/>
      <c r="XV188" s="1361"/>
      <c r="XW188" s="1360"/>
      <c r="XX188" s="1925"/>
      <c r="XY188" s="955"/>
      <c r="XZ188" s="963"/>
      <c r="YA188" s="2242"/>
      <c r="YB188" s="1360"/>
      <c r="YC188" s="955"/>
      <c r="YD188" s="1361"/>
      <c r="YE188" s="1360"/>
      <c r="YF188" s="1925"/>
      <c r="YG188" s="955"/>
      <c r="YH188" s="963"/>
      <c r="YI188" s="2242"/>
      <c r="YJ188" s="1360"/>
      <c r="YK188" s="955"/>
      <c r="YL188" s="1361"/>
      <c r="YM188" s="1360"/>
      <c r="YN188" s="1925"/>
      <c r="YO188" s="955"/>
      <c r="YP188" s="963"/>
      <c r="YQ188" s="2242"/>
      <c r="YR188" s="1360"/>
      <c r="YS188" s="955"/>
      <c r="YT188" s="1361"/>
      <c r="YU188" s="1360"/>
      <c r="YV188" s="1925"/>
      <c r="YW188" s="955"/>
      <c r="YX188" s="963"/>
      <c r="YY188" s="2242"/>
      <c r="YZ188" s="1360"/>
      <c r="ZA188" s="955"/>
      <c r="ZB188" s="1361"/>
      <c r="ZC188" s="1360"/>
      <c r="ZD188" s="1925"/>
      <c r="ZE188" s="955"/>
      <c r="ZF188" s="963"/>
      <c r="ZG188" s="2242"/>
      <c r="ZH188" s="1360"/>
      <c r="ZI188" s="955"/>
      <c r="ZJ188" s="1361"/>
      <c r="ZK188" s="1360"/>
      <c r="ZL188" s="1925"/>
      <c r="ZM188" s="955"/>
      <c r="ZN188" s="963"/>
      <c r="ZO188" s="2242"/>
      <c r="ZP188" s="1360"/>
      <c r="ZQ188" s="955"/>
      <c r="ZR188" s="1361"/>
      <c r="ZS188" s="1360"/>
      <c r="ZT188" s="1925"/>
      <c r="ZU188" s="955"/>
      <c r="ZV188" s="963"/>
      <c r="ZW188" s="2242"/>
      <c r="ZX188" s="1360"/>
      <c r="ZY188" s="955"/>
      <c r="ZZ188" s="1361"/>
      <c r="AAA188" s="1360"/>
      <c r="AAB188" s="1925"/>
      <c r="AAC188" s="955"/>
      <c r="AAD188" s="963"/>
      <c r="AAE188" s="2242"/>
      <c r="AAF188" s="1360"/>
      <c r="AAG188" s="955"/>
      <c r="AAH188" s="1361"/>
      <c r="AAI188" s="1360"/>
      <c r="AAJ188" s="1925"/>
      <c r="AAK188" s="955"/>
      <c r="AAL188" s="963"/>
      <c r="AAM188" s="2242"/>
      <c r="AAN188" s="1360"/>
      <c r="AAO188" s="955"/>
      <c r="AAP188" s="1361"/>
      <c r="AAQ188" s="1360"/>
      <c r="AAR188" s="1925"/>
      <c r="AAS188" s="955"/>
      <c r="AAT188" s="963"/>
      <c r="AAU188" s="2242"/>
      <c r="AAV188" s="1360"/>
      <c r="AAW188" s="955"/>
      <c r="AAX188" s="1361"/>
      <c r="AAY188" s="1360"/>
      <c r="AAZ188" s="1925"/>
      <c r="ABA188" s="955"/>
      <c r="ABB188" s="963"/>
      <c r="ABC188" s="2242"/>
      <c r="ABD188" s="1360"/>
      <c r="ABE188" s="955"/>
      <c r="ABF188" s="1361"/>
      <c r="ABG188" s="1360"/>
      <c r="ABH188" s="1925"/>
      <c r="ABI188" s="955"/>
      <c r="ABJ188" s="963"/>
      <c r="ABK188" s="2242"/>
      <c r="ABL188" s="1360"/>
      <c r="ABM188" s="955"/>
      <c r="ABN188" s="1361"/>
      <c r="ABO188" s="1360"/>
      <c r="ABP188" s="1925"/>
      <c r="ABQ188" s="955"/>
      <c r="ABR188" s="963"/>
      <c r="ABS188" s="2242"/>
      <c r="ABT188" s="1360"/>
      <c r="ABU188" s="955"/>
      <c r="ABV188" s="1361"/>
      <c r="ABW188" s="1360"/>
      <c r="ABX188" s="1925"/>
      <c r="ABY188" s="955"/>
      <c r="ABZ188" s="963"/>
      <c r="ACA188" s="2242"/>
      <c r="ACB188" s="1360"/>
      <c r="ACC188" s="955"/>
      <c r="ACD188" s="1361"/>
      <c r="ACE188" s="1360"/>
      <c r="ACF188" s="1925"/>
      <c r="ACG188" s="955"/>
      <c r="ACH188" s="963"/>
      <c r="ACI188" s="2242"/>
      <c r="ACJ188" s="1360"/>
      <c r="ACK188" s="955"/>
      <c r="ACL188" s="1361"/>
      <c r="ACM188" s="1360"/>
      <c r="ACN188" s="1925"/>
      <c r="ACO188" s="955"/>
      <c r="ACP188" s="963"/>
      <c r="ACQ188" s="2242"/>
      <c r="ACR188" s="1360"/>
      <c r="ACS188" s="955"/>
      <c r="ACT188" s="1361"/>
      <c r="ACU188" s="1360"/>
      <c r="ACV188" s="1925"/>
      <c r="ACW188" s="955"/>
      <c r="ACX188" s="963"/>
      <c r="ACY188" s="2242"/>
      <c r="ACZ188" s="1360"/>
      <c r="ADA188" s="955"/>
      <c r="ADB188" s="1361"/>
      <c r="ADC188" s="1360"/>
      <c r="ADD188" s="1925"/>
      <c r="ADE188" s="955"/>
      <c r="ADF188" s="963"/>
      <c r="ADG188" s="2242"/>
      <c r="ADH188" s="1360"/>
      <c r="ADI188" s="955"/>
      <c r="ADJ188" s="1361"/>
      <c r="ADK188" s="1360"/>
      <c r="ADL188" s="1925"/>
      <c r="ADM188" s="955"/>
      <c r="ADN188" s="963"/>
      <c r="ADO188" s="2242"/>
      <c r="ADP188" s="1360"/>
      <c r="ADQ188" s="955"/>
      <c r="ADR188" s="1361"/>
      <c r="ADS188" s="1360"/>
      <c r="ADT188" s="1925"/>
      <c r="ADU188" s="955"/>
      <c r="ADV188" s="963"/>
      <c r="ADW188" s="2242"/>
      <c r="ADX188" s="1360"/>
      <c r="ADY188" s="955"/>
      <c r="ADZ188" s="1361"/>
      <c r="AEA188" s="1360"/>
      <c r="AEB188" s="1925"/>
      <c r="AEC188" s="955"/>
      <c r="AED188" s="963"/>
      <c r="AEE188" s="2242"/>
      <c r="AEF188" s="1360"/>
      <c r="AEG188" s="955"/>
      <c r="AEH188" s="1361"/>
      <c r="AEI188" s="1360"/>
      <c r="AEJ188" s="1925"/>
      <c r="AEK188" s="955"/>
      <c r="AEL188" s="963"/>
      <c r="AEM188" s="2242"/>
      <c r="AEN188" s="1360"/>
      <c r="AEO188" s="955"/>
      <c r="AEP188" s="1361"/>
      <c r="AEQ188" s="1360"/>
      <c r="AER188" s="1925"/>
      <c r="AES188" s="955"/>
      <c r="AET188" s="963"/>
      <c r="AEU188" s="2242"/>
      <c r="AEV188" s="1360"/>
      <c r="AEW188" s="955"/>
      <c r="AEX188" s="1361"/>
      <c r="AEY188" s="1360"/>
      <c r="AEZ188" s="1925"/>
      <c r="AFA188" s="955"/>
      <c r="AFB188" s="963"/>
      <c r="AFC188" s="2242"/>
      <c r="AFD188" s="1360"/>
      <c r="AFE188" s="955"/>
      <c r="AFF188" s="1361"/>
      <c r="AFG188" s="1360"/>
      <c r="AFH188" s="1925"/>
      <c r="AFI188" s="955"/>
      <c r="AFJ188" s="963"/>
      <c r="AFK188" s="2242"/>
      <c r="AFL188" s="1360"/>
      <c r="AFM188" s="955"/>
      <c r="AFN188" s="1361"/>
      <c r="AFO188" s="1360"/>
      <c r="AFP188" s="1925"/>
      <c r="AFQ188" s="955"/>
      <c r="AFR188" s="963"/>
      <c r="AFS188" s="2242"/>
      <c r="AFT188" s="1360"/>
      <c r="AFU188" s="955"/>
      <c r="AFV188" s="1361"/>
      <c r="AFW188" s="1360"/>
      <c r="AFX188" s="1925"/>
      <c r="AFY188" s="955"/>
      <c r="AFZ188" s="963"/>
      <c r="AGA188" s="2242"/>
      <c r="AGB188" s="1360"/>
      <c r="AGC188" s="955"/>
      <c r="AGD188" s="1361"/>
      <c r="AGE188" s="1360"/>
      <c r="AGF188" s="1925"/>
      <c r="AGG188" s="955"/>
      <c r="AGH188" s="963"/>
      <c r="AGI188" s="2242"/>
      <c r="AGJ188" s="1360"/>
      <c r="AGK188" s="955"/>
      <c r="AGL188" s="1361"/>
      <c r="AGM188" s="1360"/>
      <c r="AGN188" s="1925"/>
      <c r="AGO188" s="955"/>
      <c r="AGP188" s="963"/>
      <c r="AGQ188" s="2242"/>
      <c r="AGR188" s="1360"/>
      <c r="AGS188" s="955"/>
      <c r="AGT188" s="1361"/>
      <c r="AGU188" s="1360"/>
      <c r="AGV188" s="1925"/>
      <c r="AGW188" s="955"/>
      <c r="AGX188" s="963"/>
      <c r="AGY188" s="2242"/>
      <c r="AGZ188" s="1360"/>
      <c r="AHA188" s="955"/>
      <c r="AHB188" s="1361"/>
      <c r="AHC188" s="1360"/>
      <c r="AHD188" s="1925"/>
      <c r="AHE188" s="955"/>
      <c r="AHF188" s="963"/>
      <c r="AHG188" s="2242"/>
      <c r="AHH188" s="1360"/>
      <c r="AHI188" s="955"/>
      <c r="AHJ188" s="1361"/>
      <c r="AHK188" s="1360"/>
      <c r="AHL188" s="1925"/>
      <c r="AHM188" s="955"/>
      <c r="AHN188" s="963"/>
      <c r="AHO188" s="2242"/>
      <c r="AHP188" s="1360"/>
      <c r="AHQ188" s="955"/>
      <c r="AHR188" s="1361"/>
      <c r="AHS188" s="1360"/>
      <c r="AHT188" s="1925"/>
      <c r="AHU188" s="955"/>
      <c r="AHV188" s="963"/>
      <c r="AHW188" s="2242"/>
      <c r="AHX188" s="1360"/>
      <c r="AHY188" s="955"/>
      <c r="AHZ188" s="1361"/>
      <c r="AIA188" s="1360"/>
      <c r="AIB188" s="1925"/>
      <c r="AIC188" s="955"/>
      <c r="AID188" s="963"/>
      <c r="AIE188" s="2242"/>
      <c r="AIF188" s="1360"/>
      <c r="AIG188" s="955"/>
      <c r="AIH188" s="1361"/>
      <c r="AII188" s="1360"/>
      <c r="AIJ188" s="1925"/>
      <c r="AIK188" s="955"/>
      <c r="AIL188" s="963"/>
      <c r="AIM188" s="2242"/>
      <c r="AIN188" s="1360"/>
      <c r="AIO188" s="955"/>
      <c r="AIP188" s="1361"/>
      <c r="AIQ188" s="1360"/>
      <c r="AIR188" s="1925"/>
      <c r="AIS188" s="955"/>
      <c r="AIT188" s="963"/>
      <c r="AIU188" s="2242"/>
      <c r="AIV188" s="1360"/>
      <c r="AIW188" s="955"/>
      <c r="AIX188" s="1361"/>
      <c r="AIY188" s="1360"/>
      <c r="AIZ188" s="1925"/>
      <c r="AJA188" s="955"/>
      <c r="AJB188" s="963"/>
      <c r="AJC188" s="2242"/>
      <c r="AJD188" s="1360"/>
      <c r="AJE188" s="955"/>
      <c r="AJF188" s="1361"/>
      <c r="AJG188" s="1360"/>
      <c r="AJH188" s="1925"/>
      <c r="AJI188" s="955"/>
      <c r="AJJ188" s="963"/>
      <c r="AJK188" s="2242"/>
      <c r="AJL188" s="1360"/>
      <c r="AJM188" s="955"/>
      <c r="AJN188" s="1361"/>
      <c r="AJO188" s="1360"/>
      <c r="AJP188" s="1925"/>
      <c r="AJQ188" s="955"/>
      <c r="AJR188" s="963"/>
      <c r="AJS188" s="2242"/>
      <c r="AJT188" s="1360"/>
      <c r="AJU188" s="955"/>
      <c r="AJV188" s="1361"/>
      <c r="AJW188" s="1360"/>
      <c r="AJX188" s="1925"/>
      <c r="AJY188" s="955"/>
      <c r="AJZ188" s="963"/>
      <c r="AKA188" s="2242"/>
      <c r="AKB188" s="1360"/>
      <c r="AKC188" s="955"/>
      <c r="AKD188" s="1361"/>
      <c r="AKE188" s="1360"/>
      <c r="AKF188" s="1925"/>
      <c r="AKG188" s="955"/>
      <c r="AKH188" s="963"/>
      <c r="AKI188" s="2242"/>
      <c r="AKJ188" s="1360"/>
      <c r="AKK188" s="955"/>
      <c r="AKL188" s="1361"/>
      <c r="AKM188" s="1360"/>
      <c r="AKN188" s="1925"/>
      <c r="AKO188" s="955"/>
      <c r="AKP188" s="963"/>
      <c r="AKQ188" s="2242"/>
      <c r="AKR188" s="1360"/>
      <c r="AKS188" s="955"/>
      <c r="AKT188" s="1361"/>
      <c r="AKU188" s="1360"/>
      <c r="AKV188" s="1925"/>
      <c r="AKW188" s="955"/>
      <c r="AKX188" s="963"/>
      <c r="AKY188" s="2242"/>
      <c r="AKZ188" s="1360"/>
      <c r="ALA188" s="955"/>
      <c r="ALB188" s="1361"/>
      <c r="ALC188" s="1360"/>
      <c r="ALD188" s="1925"/>
      <c r="ALE188" s="955"/>
      <c r="ALF188" s="963"/>
      <c r="ALG188" s="2242"/>
      <c r="ALH188" s="1360"/>
      <c r="ALI188" s="955"/>
      <c r="ALJ188" s="1361"/>
      <c r="ALK188" s="1360"/>
      <c r="ALL188" s="1925"/>
      <c r="ALM188" s="955"/>
      <c r="ALN188" s="963"/>
      <c r="ALO188" s="2242"/>
      <c r="ALP188" s="1360"/>
      <c r="ALQ188" s="955"/>
      <c r="ALR188" s="1361"/>
      <c r="ALS188" s="1360"/>
      <c r="ALT188" s="1925"/>
      <c r="ALU188" s="955"/>
      <c r="ALV188" s="963"/>
      <c r="ALW188" s="2242"/>
      <c r="ALX188" s="1360"/>
      <c r="ALY188" s="955"/>
      <c r="ALZ188" s="1361"/>
      <c r="AMA188" s="1360"/>
      <c r="AMB188" s="1925"/>
      <c r="AMC188" s="955"/>
      <c r="AMD188" s="963"/>
      <c r="AME188" s="2242"/>
      <c r="AMF188" s="1360"/>
      <c r="AMG188" s="955"/>
      <c r="AMH188" s="1361"/>
      <c r="AMI188" s="1360"/>
      <c r="AMJ188" s="1925"/>
      <c r="AMK188" s="955"/>
      <c r="AML188" s="963"/>
      <c r="AMM188" s="2242"/>
      <c r="AMN188" s="1360"/>
      <c r="AMO188" s="955"/>
      <c r="AMP188" s="1361"/>
      <c r="AMQ188" s="1360"/>
      <c r="AMR188" s="1925"/>
      <c r="AMS188" s="955"/>
      <c r="AMT188" s="963"/>
      <c r="AMU188" s="2242"/>
      <c r="AMV188" s="1360"/>
      <c r="AMW188" s="955"/>
      <c r="AMX188" s="1361"/>
      <c r="AMY188" s="1360"/>
      <c r="AMZ188" s="1925"/>
      <c r="ANA188" s="955"/>
      <c r="ANB188" s="963"/>
      <c r="ANC188" s="2242"/>
      <c r="AND188" s="1360"/>
      <c r="ANE188" s="955"/>
      <c r="ANF188" s="1361"/>
      <c r="ANG188" s="1360"/>
      <c r="ANH188" s="1925"/>
      <c r="ANI188" s="955"/>
      <c r="ANJ188" s="963"/>
      <c r="ANK188" s="2242"/>
      <c r="ANL188" s="1360"/>
      <c r="ANM188" s="955"/>
      <c r="ANN188" s="1361"/>
      <c r="ANO188" s="1360"/>
      <c r="ANP188" s="1925"/>
      <c r="ANQ188" s="955"/>
      <c r="ANR188" s="963"/>
      <c r="ANS188" s="2242"/>
      <c r="ANT188" s="1360"/>
      <c r="ANU188" s="955"/>
      <c r="ANV188" s="1361"/>
      <c r="ANW188" s="1360"/>
      <c r="ANX188" s="1925"/>
      <c r="ANY188" s="955"/>
      <c r="ANZ188" s="963"/>
      <c r="AOA188" s="2242"/>
      <c r="AOB188" s="1360"/>
      <c r="AOC188" s="955"/>
      <c r="AOD188" s="1361"/>
      <c r="AOE188" s="1360"/>
      <c r="AOF188" s="1925"/>
      <c r="AOG188" s="955"/>
      <c r="AOH188" s="963"/>
      <c r="AOI188" s="2242"/>
      <c r="AOJ188" s="1360"/>
      <c r="AOK188" s="955"/>
      <c r="AOL188" s="1361"/>
      <c r="AOM188" s="1360"/>
      <c r="AON188" s="1925"/>
      <c r="AOO188" s="955"/>
      <c r="AOP188" s="963"/>
      <c r="AOQ188" s="2242"/>
      <c r="AOR188" s="1360"/>
      <c r="AOS188" s="955"/>
      <c r="AOT188" s="1361"/>
      <c r="AOU188" s="1360"/>
      <c r="AOV188" s="1925"/>
      <c r="AOW188" s="955"/>
      <c r="AOX188" s="963"/>
      <c r="AOY188" s="2242"/>
      <c r="AOZ188" s="1360"/>
      <c r="APA188" s="955"/>
      <c r="APB188" s="1361"/>
      <c r="APC188" s="1360"/>
      <c r="APD188" s="1925"/>
      <c r="APE188" s="955"/>
      <c r="APF188" s="963"/>
      <c r="APG188" s="2242"/>
      <c r="APH188" s="1360"/>
      <c r="API188" s="955"/>
      <c r="APJ188" s="1361"/>
      <c r="APK188" s="1360"/>
      <c r="APL188" s="1925"/>
      <c r="APM188" s="955"/>
      <c r="APN188" s="963"/>
      <c r="APO188" s="2242"/>
      <c r="APP188" s="1360"/>
      <c r="APQ188" s="955"/>
      <c r="APR188" s="1361"/>
      <c r="APS188" s="1360"/>
      <c r="APT188" s="1925"/>
      <c r="APU188" s="955"/>
      <c r="APV188" s="963"/>
      <c r="APW188" s="2242"/>
      <c r="APX188" s="1360"/>
      <c r="APY188" s="955"/>
      <c r="APZ188" s="1361"/>
      <c r="AQA188" s="1360"/>
      <c r="AQB188" s="1925"/>
      <c r="AQC188" s="955"/>
      <c r="AQD188" s="963"/>
      <c r="AQE188" s="2242"/>
      <c r="AQF188" s="1360"/>
      <c r="AQG188" s="955"/>
      <c r="AQH188" s="1361"/>
      <c r="AQI188" s="1360"/>
      <c r="AQJ188" s="1925"/>
      <c r="AQK188" s="955"/>
      <c r="AQL188" s="963"/>
      <c r="AQM188" s="2242"/>
      <c r="AQN188" s="1360"/>
      <c r="AQO188" s="955"/>
      <c r="AQP188" s="1361"/>
      <c r="AQQ188" s="1360"/>
      <c r="AQR188" s="1925"/>
      <c r="AQS188" s="955"/>
      <c r="AQT188" s="963"/>
      <c r="AQU188" s="2242"/>
      <c r="AQV188" s="1360"/>
      <c r="AQW188" s="955"/>
      <c r="AQX188" s="1361"/>
      <c r="AQY188" s="1360"/>
      <c r="AQZ188" s="1925"/>
      <c r="ARA188" s="955"/>
      <c r="ARB188" s="963"/>
      <c r="ARC188" s="2242"/>
      <c r="ARD188" s="1360"/>
      <c r="ARE188" s="955"/>
      <c r="ARF188" s="1361"/>
      <c r="ARG188" s="1360"/>
      <c r="ARH188" s="1925"/>
      <c r="ARI188" s="955"/>
      <c r="ARJ188" s="963"/>
      <c r="ARK188" s="2242"/>
      <c r="ARL188" s="1360"/>
      <c r="ARM188" s="955"/>
      <c r="ARN188" s="1361"/>
      <c r="ARO188" s="1360"/>
      <c r="ARP188" s="1925"/>
      <c r="ARQ188" s="955"/>
      <c r="ARR188" s="963"/>
      <c r="ARS188" s="2242"/>
      <c r="ART188" s="1360"/>
      <c r="ARU188" s="955"/>
      <c r="ARV188" s="1361"/>
      <c r="ARW188" s="1360"/>
      <c r="ARX188" s="1925"/>
      <c r="ARY188" s="955"/>
      <c r="ARZ188" s="963"/>
      <c r="ASA188" s="2242"/>
      <c r="ASB188" s="1360"/>
      <c r="ASC188" s="955"/>
      <c r="ASD188" s="1361"/>
      <c r="ASE188" s="1360"/>
      <c r="ASF188" s="1925"/>
      <c r="ASG188" s="955"/>
      <c r="ASH188" s="963"/>
      <c r="ASI188" s="2242"/>
      <c r="ASJ188" s="1360"/>
      <c r="ASK188" s="955"/>
      <c r="ASL188" s="1361"/>
      <c r="ASM188" s="1360"/>
      <c r="ASN188" s="1925"/>
      <c r="ASO188" s="955"/>
      <c r="ASP188" s="963"/>
      <c r="ASQ188" s="2242"/>
      <c r="ASR188" s="1360"/>
      <c r="ASS188" s="955"/>
      <c r="AST188" s="1361"/>
      <c r="ASU188" s="1360"/>
      <c r="ASV188" s="1925"/>
      <c r="ASW188" s="955"/>
      <c r="ASX188" s="963"/>
      <c r="ASY188" s="2242"/>
      <c r="ASZ188" s="1360"/>
      <c r="ATA188" s="955"/>
      <c r="ATB188" s="1361"/>
      <c r="ATC188" s="1360"/>
      <c r="ATD188" s="1925"/>
      <c r="ATE188" s="955"/>
      <c r="ATF188" s="963"/>
      <c r="ATG188" s="2242"/>
      <c r="ATH188" s="1360"/>
      <c r="ATI188" s="955"/>
      <c r="ATJ188" s="1361"/>
      <c r="ATK188" s="1360"/>
      <c r="ATL188" s="1925"/>
      <c r="ATM188" s="955"/>
      <c r="ATN188" s="963"/>
      <c r="ATO188" s="2242"/>
      <c r="ATP188" s="1360"/>
      <c r="ATQ188" s="955"/>
      <c r="ATR188" s="1361"/>
      <c r="ATS188" s="1360"/>
      <c r="ATT188" s="1925"/>
      <c r="ATU188" s="955"/>
      <c r="ATV188" s="963"/>
      <c r="ATW188" s="2242"/>
      <c r="ATX188" s="1360"/>
      <c r="ATY188" s="955"/>
      <c r="ATZ188" s="1361"/>
      <c r="AUA188" s="1360"/>
      <c r="AUB188" s="1925"/>
      <c r="AUC188" s="955"/>
      <c r="AUD188" s="963"/>
      <c r="AUE188" s="2242"/>
      <c r="AUF188" s="1360"/>
      <c r="AUG188" s="955"/>
      <c r="AUH188" s="1361"/>
      <c r="AUI188" s="1360"/>
      <c r="AUJ188" s="1925"/>
      <c r="AUK188" s="955"/>
      <c r="AUL188" s="963"/>
      <c r="AUM188" s="2242"/>
      <c r="AUN188" s="1360"/>
      <c r="AUO188" s="955"/>
      <c r="AUP188" s="1361"/>
      <c r="AUQ188" s="1360"/>
      <c r="AUR188" s="1925"/>
      <c r="AUS188" s="955"/>
      <c r="AUT188" s="963"/>
      <c r="AUU188" s="2242"/>
      <c r="AUV188" s="1360"/>
      <c r="AUW188" s="955"/>
      <c r="AUX188" s="1361"/>
      <c r="AUY188" s="1360"/>
      <c r="AUZ188" s="1925"/>
      <c r="AVA188" s="955"/>
      <c r="AVB188" s="963"/>
      <c r="AVC188" s="2242"/>
      <c r="AVD188" s="1360"/>
      <c r="AVE188" s="955"/>
      <c r="AVF188" s="1361"/>
      <c r="AVG188" s="1360"/>
      <c r="AVH188" s="1925"/>
      <c r="AVI188" s="955"/>
      <c r="AVJ188" s="963"/>
      <c r="AVK188" s="2242"/>
      <c r="AVL188" s="1360"/>
      <c r="AVM188" s="955"/>
      <c r="AVN188" s="1361"/>
      <c r="AVO188" s="1360"/>
      <c r="AVP188" s="1925"/>
      <c r="AVQ188" s="955"/>
      <c r="AVR188" s="963"/>
      <c r="AVS188" s="2242"/>
      <c r="AVT188" s="1360"/>
      <c r="AVU188" s="955"/>
      <c r="AVV188" s="1361"/>
      <c r="AVW188" s="1360"/>
      <c r="AVX188" s="1925"/>
      <c r="AVY188" s="955"/>
      <c r="AVZ188" s="963"/>
      <c r="AWA188" s="2242"/>
      <c r="AWB188" s="1360"/>
      <c r="AWC188" s="955"/>
      <c r="AWD188" s="1361"/>
      <c r="AWE188" s="1360"/>
      <c r="AWF188" s="1925"/>
      <c r="AWG188" s="955"/>
      <c r="AWH188" s="963"/>
      <c r="AWI188" s="2242"/>
      <c r="AWJ188" s="1360"/>
      <c r="AWK188" s="955"/>
      <c r="AWL188" s="1361"/>
      <c r="AWM188" s="1360"/>
      <c r="AWN188" s="1925"/>
      <c r="AWO188" s="955"/>
      <c r="AWP188" s="963"/>
      <c r="AWQ188" s="2242"/>
      <c r="AWR188" s="1360"/>
      <c r="AWS188" s="955"/>
      <c r="AWT188" s="1361"/>
      <c r="AWU188" s="1360"/>
      <c r="AWV188" s="1925"/>
      <c r="AWW188" s="955"/>
      <c r="AWX188" s="963"/>
      <c r="AWY188" s="2242"/>
      <c r="AWZ188" s="1360"/>
      <c r="AXA188" s="955"/>
      <c r="AXB188" s="1361"/>
      <c r="AXC188" s="1360"/>
      <c r="AXD188" s="1925"/>
      <c r="AXE188" s="955"/>
      <c r="AXF188" s="963"/>
      <c r="AXG188" s="2242"/>
      <c r="AXH188" s="1360"/>
      <c r="AXI188" s="955"/>
      <c r="AXJ188" s="1361"/>
      <c r="AXK188" s="1360"/>
      <c r="AXL188" s="1925"/>
      <c r="AXM188" s="955"/>
      <c r="AXN188" s="963"/>
      <c r="AXO188" s="2242"/>
      <c r="AXP188" s="1360"/>
      <c r="AXQ188" s="955"/>
      <c r="AXR188" s="1361"/>
      <c r="AXS188" s="1360"/>
      <c r="AXT188" s="1925"/>
      <c r="AXU188" s="955"/>
      <c r="AXV188" s="963"/>
      <c r="AXW188" s="2242"/>
      <c r="AXX188" s="1360"/>
      <c r="AXY188" s="955"/>
      <c r="AXZ188" s="1361"/>
      <c r="AYA188" s="1360"/>
      <c r="AYB188" s="1925"/>
      <c r="AYC188" s="955"/>
      <c r="AYD188" s="963"/>
      <c r="AYE188" s="2242"/>
      <c r="AYF188" s="1360"/>
      <c r="AYG188" s="955"/>
      <c r="AYH188" s="1361"/>
      <c r="AYI188" s="1360"/>
      <c r="AYJ188" s="1925"/>
      <c r="AYK188" s="955"/>
      <c r="AYL188" s="963"/>
      <c r="AYM188" s="2242"/>
      <c r="AYN188" s="1360"/>
      <c r="AYO188" s="955"/>
      <c r="AYP188" s="1361"/>
      <c r="AYQ188" s="1360"/>
      <c r="AYR188" s="1925"/>
      <c r="AYS188" s="955"/>
      <c r="AYT188" s="963"/>
      <c r="AYU188" s="2242"/>
      <c r="AYV188" s="1360"/>
      <c r="AYW188" s="955"/>
      <c r="AYX188" s="1361"/>
      <c r="AYY188" s="1360"/>
      <c r="AYZ188" s="1925"/>
      <c r="AZA188" s="955"/>
      <c r="AZB188" s="963"/>
      <c r="AZC188" s="2242"/>
      <c r="AZD188" s="1360"/>
      <c r="AZE188" s="955"/>
      <c r="AZF188" s="1361"/>
      <c r="AZG188" s="1360"/>
      <c r="AZH188" s="1925"/>
      <c r="AZI188" s="955"/>
      <c r="AZJ188" s="963"/>
      <c r="AZK188" s="2242"/>
      <c r="AZL188" s="1360"/>
      <c r="AZM188" s="955"/>
      <c r="AZN188" s="1361"/>
      <c r="AZO188" s="1360"/>
      <c r="AZP188" s="1925"/>
      <c r="AZQ188" s="955"/>
      <c r="AZR188" s="963"/>
      <c r="AZS188" s="2242"/>
      <c r="AZT188" s="1360"/>
      <c r="AZU188" s="955"/>
      <c r="AZV188" s="1361"/>
      <c r="AZW188" s="1360"/>
      <c r="AZX188" s="1925"/>
      <c r="AZY188" s="955"/>
      <c r="AZZ188" s="963"/>
      <c r="BAA188" s="2242"/>
      <c r="BAB188" s="1360"/>
      <c r="BAC188" s="955"/>
      <c r="BAD188" s="1361"/>
      <c r="BAE188" s="1360"/>
      <c r="BAF188" s="1925"/>
      <c r="BAG188" s="955"/>
      <c r="BAH188" s="963"/>
      <c r="BAI188" s="2242"/>
      <c r="BAJ188" s="1360"/>
      <c r="BAK188" s="955"/>
      <c r="BAL188" s="1361"/>
      <c r="BAM188" s="1360"/>
      <c r="BAN188" s="1925"/>
      <c r="BAO188" s="955"/>
      <c r="BAP188" s="963"/>
      <c r="BAQ188" s="2242"/>
      <c r="BAR188" s="1360"/>
      <c r="BAS188" s="955"/>
      <c r="BAT188" s="1361"/>
      <c r="BAU188" s="1360"/>
      <c r="BAV188" s="1925"/>
      <c r="BAW188" s="955"/>
      <c r="BAX188" s="963"/>
      <c r="BAY188" s="2242"/>
      <c r="BAZ188" s="1360"/>
      <c r="BBA188" s="955"/>
      <c r="BBB188" s="1361"/>
      <c r="BBC188" s="1360"/>
      <c r="BBD188" s="1925"/>
      <c r="BBE188" s="955"/>
      <c r="BBF188" s="963"/>
      <c r="BBG188" s="2242"/>
      <c r="BBH188" s="1360"/>
      <c r="BBI188" s="955"/>
      <c r="BBJ188" s="1361"/>
      <c r="BBK188" s="1360"/>
      <c r="BBL188" s="1925"/>
      <c r="BBM188" s="955"/>
      <c r="BBN188" s="963"/>
      <c r="BBO188" s="2242"/>
      <c r="BBP188" s="1360"/>
      <c r="BBQ188" s="955"/>
      <c r="BBR188" s="1361"/>
      <c r="BBS188" s="1360"/>
      <c r="BBT188" s="1925"/>
      <c r="BBU188" s="955"/>
      <c r="BBV188" s="963"/>
      <c r="BBW188" s="2242"/>
      <c r="BBX188" s="1360"/>
      <c r="BBY188" s="955"/>
      <c r="BBZ188" s="1361"/>
      <c r="BCA188" s="1360"/>
      <c r="BCB188" s="1925"/>
      <c r="BCC188" s="955"/>
      <c r="BCD188" s="963"/>
      <c r="BCE188" s="2242"/>
      <c r="BCF188" s="1360"/>
      <c r="BCG188" s="955"/>
      <c r="BCH188" s="1361"/>
      <c r="BCI188" s="1360"/>
      <c r="BCJ188" s="1925"/>
      <c r="BCK188" s="955"/>
      <c r="BCL188" s="963"/>
      <c r="BCM188" s="2242"/>
      <c r="BCN188" s="1360"/>
      <c r="BCO188" s="955"/>
      <c r="BCP188" s="1361"/>
      <c r="BCQ188" s="1360"/>
      <c r="BCR188" s="1925"/>
      <c r="BCS188" s="955"/>
      <c r="BCT188" s="963"/>
      <c r="BCU188" s="2242"/>
      <c r="BCV188" s="1360"/>
      <c r="BCW188" s="955"/>
      <c r="BCX188" s="1361"/>
      <c r="BCY188" s="1360"/>
      <c r="BCZ188" s="1925"/>
      <c r="BDA188" s="955"/>
      <c r="BDB188" s="963"/>
      <c r="BDC188" s="2242"/>
      <c r="BDD188" s="1360"/>
      <c r="BDE188" s="955"/>
      <c r="BDF188" s="1361"/>
      <c r="BDG188" s="1360"/>
      <c r="BDH188" s="1925"/>
      <c r="BDI188" s="955"/>
      <c r="BDJ188" s="963"/>
      <c r="BDK188" s="2242"/>
      <c r="BDL188" s="1360"/>
      <c r="BDM188" s="955"/>
      <c r="BDN188" s="1361"/>
      <c r="BDO188" s="1360"/>
      <c r="BDP188" s="1925"/>
      <c r="BDQ188" s="955"/>
      <c r="BDR188" s="963"/>
      <c r="BDS188" s="2242"/>
      <c r="BDT188" s="1360"/>
      <c r="BDU188" s="955"/>
      <c r="BDV188" s="1361"/>
      <c r="BDW188" s="1360"/>
      <c r="BDX188" s="1925"/>
      <c r="BDY188" s="955"/>
      <c r="BDZ188" s="963"/>
      <c r="BEA188" s="2242"/>
      <c r="BEB188" s="1360"/>
      <c r="BEC188" s="955"/>
      <c r="BED188" s="1361"/>
      <c r="BEE188" s="1360"/>
      <c r="BEF188" s="1925"/>
      <c r="BEG188" s="955"/>
      <c r="BEH188" s="963"/>
      <c r="BEI188" s="2242"/>
      <c r="BEJ188" s="1360"/>
      <c r="BEK188" s="955"/>
      <c r="BEL188" s="1361"/>
      <c r="BEM188" s="1360"/>
      <c r="BEN188" s="1925"/>
      <c r="BEO188" s="955"/>
      <c r="BEP188" s="963"/>
      <c r="BEQ188" s="2242"/>
      <c r="BER188" s="1360"/>
      <c r="BES188" s="955"/>
      <c r="BET188" s="1361"/>
      <c r="BEU188" s="1360"/>
      <c r="BEV188" s="1925"/>
      <c r="BEW188" s="955"/>
      <c r="BEX188" s="963"/>
      <c r="BEY188" s="2242"/>
      <c r="BEZ188" s="1360"/>
      <c r="BFA188" s="955"/>
      <c r="BFB188" s="1361"/>
      <c r="BFC188" s="1360"/>
      <c r="BFD188" s="1925"/>
      <c r="BFE188" s="955"/>
      <c r="BFF188" s="963"/>
      <c r="BFG188" s="2242"/>
      <c r="BFH188" s="1360"/>
      <c r="BFI188" s="955"/>
      <c r="BFJ188" s="1361"/>
      <c r="BFK188" s="1360"/>
      <c r="BFL188" s="1925"/>
      <c r="BFM188" s="955"/>
      <c r="BFN188" s="963"/>
      <c r="BFO188" s="2242"/>
      <c r="BFP188" s="1360"/>
      <c r="BFQ188" s="955"/>
      <c r="BFR188" s="1361"/>
      <c r="BFS188" s="1360"/>
      <c r="BFT188" s="1925"/>
      <c r="BFU188" s="955"/>
      <c r="BFV188" s="963"/>
      <c r="BFW188" s="2242"/>
      <c r="BFX188" s="1360"/>
      <c r="BFY188" s="955"/>
      <c r="BFZ188" s="1361"/>
      <c r="BGA188" s="1360"/>
      <c r="BGB188" s="1925"/>
      <c r="BGC188" s="955"/>
      <c r="BGD188" s="963"/>
      <c r="BGE188" s="2242"/>
      <c r="BGF188" s="1360"/>
      <c r="BGG188" s="955"/>
      <c r="BGH188" s="1361"/>
      <c r="BGI188" s="1360"/>
      <c r="BGJ188" s="1925"/>
      <c r="BGK188" s="955"/>
      <c r="BGL188" s="963"/>
      <c r="BGM188" s="2242"/>
      <c r="BGN188" s="1360"/>
      <c r="BGO188" s="955"/>
      <c r="BGP188" s="1361"/>
      <c r="BGQ188" s="1360"/>
      <c r="BGR188" s="1925"/>
      <c r="BGS188" s="955"/>
      <c r="BGT188" s="963"/>
      <c r="BGU188" s="2242"/>
      <c r="BGV188" s="1360"/>
      <c r="BGW188" s="955"/>
      <c r="BGX188" s="1361"/>
      <c r="BGY188" s="1360"/>
      <c r="BGZ188" s="1925"/>
      <c r="BHA188" s="955"/>
      <c r="BHB188" s="963"/>
      <c r="BHC188" s="2242"/>
      <c r="BHD188" s="1360"/>
      <c r="BHE188" s="955"/>
      <c r="BHF188" s="1361"/>
      <c r="BHG188" s="1360"/>
      <c r="BHH188" s="1925"/>
      <c r="BHI188" s="955"/>
      <c r="BHJ188" s="963"/>
      <c r="BHK188" s="2242"/>
      <c r="BHL188" s="1360"/>
      <c r="BHM188" s="955"/>
      <c r="BHN188" s="1361"/>
      <c r="BHO188" s="1360"/>
      <c r="BHP188" s="1925"/>
      <c r="BHQ188" s="955"/>
      <c r="BHR188" s="963"/>
      <c r="BHS188" s="2242"/>
      <c r="BHT188" s="1360"/>
      <c r="BHU188" s="955"/>
      <c r="BHV188" s="1361"/>
      <c r="BHW188" s="1360"/>
      <c r="BHX188" s="1925"/>
      <c r="BHY188" s="955"/>
      <c r="BHZ188" s="963"/>
      <c r="BIA188" s="2242"/>
      <c r="BIB188" s="1360"/>
      <c r="BIC188" s="955"/>
      <c r="BID188" s="1361"/>
      <c r="BIE188" s="1360"/>
      <c r="BIF188" s="1925"/>
      <c r="BIG188" s="955"/>
      <c r="BIH188" s="963"/>
      <c r="BII188" s="2242"/>
      <c r="BIJ188" s="1360"/>
      <c r="BIK188" s="955"/>
      <c r="BIL188" s="1361"/>
      <c r="BIM188" s="1360"/>
      <c r="BIN188" s="1925"/>
      <c r="BIO188" s="955"/>
      <c r="BIP188" s="963"/>
      <c r="BIQ188" s="2242"/>
      <c r="BIR188" s="1360"/>
      <c r="BIS188" s="955"/>
      <c r="BIT188" s="1361"/>
      <c r="BIU188" s="1360"/>
      <c r="BIV188" s="1925"/>
      <c r="BIW188" s="955"/>
      <c r="BIX188" s="963"/>
      <c r="BIY188" s="2242"/>
      <c r="BIZ188" s="1360"/>
      <c r="BJA188" s="955"/>
      <c r="BJB188" s="1361"/>
      <c r="BJC188" s="1360"/>
      <c r="BJD188" s="1925"/>
      <c r="BJE188" s="955"/>
      <c r="BJF188" s="963"/>
      <c r="BJG188" s="2242"/>
      <c r="BJH188" s="1360"/>
      <c r="BJI188" s="955"/>
      <c r="BJJ188" s="1361"/>
      <c r="BJK188" s="1360"/>
      <c r="BJL188" s="1925"/>
      <c r="BJM188" s="955"/>
      <c r="BJN188" s="963"/>
      <c r="BJO188" s="2242"/>
      <c r="BJP188" s="1360"/>
      <c r="BJQ188" s="955"/>
      <c r="BJR188" s="1361"/>
      <c r="BJS188" s="1360"/>
      <c r="BJT188" s="1925"/>
      <c r="BJU188" s="955"/>
      <c r="BJV188" s="963"/>
      <c r="BJW188" s="2242"/>
      <c r="BJX188" s="1360"/>
      <c r="BJY188" s="955"/>
      <c r="BJZ188" s="1361"/>
      <c r="BKA188" s="1360"/>
      <c r="BKB188" s="1925"/>
      <c r="BKC188" s="955"/>
      <c r="BKD188" s="963"/>
      <c r="BKE188" s="2242"/>
      <c r="BKF188" s="1360"/>
      <c r="BKG188" s="955"/>
      <c r="BKH188" s="1361"/>
      <c r="BKI188" s="1360"/>
      <c r="BKJ188" s="1925"/>
      <c r="BKK188" s="955"/>
      <c r="BKL188" s="963"/>
      <c r="BKM188" s="2242"/>
      <c r="BKN188" s="1360"/>
      <c r="BKO188" s="955"/>
      <c r="BKP188" s="1361"/>
      <c r="BKQ188" s="1360"/>
      <c r="BKR188" s="1925"/>
      <c r="BKS188" s="955"/>
      <c r="BKT188" s="963"/>
      <c r="BKU188" s="2242"/>
      <c r="BKV188" s="1360"/>
      <c r="BKW188" s="955"/>
      <c r="BKX188" s="1361"/>
      <c r="BKY188" s="1360"/>
      <c r="BKZ188" s="1925"/>
      <c r="BLA188" s="955"/>
      <c r="BLB188" s="963"/>
      <c r="BLC188" s="2242"/>
      <c r="BLD188" s="1360"/>
      <c r="BLE188" s="955"/>
      <c r="BLF188" s="1361"/>
      <c r="BLG188" s="1360"/>
      <c r="BLH188" s="1925"/>
      <c r="BLI188" s="955"/>
      <c r="BLJ188" s="963"/>
      <c r="BLK188" s="2242"/>
      <c r="BLL188" s="1360"/>
      <c r="BLM188" s="955"/>
      <c r="BLN188" s="1361"/>
      <c r="BLO188" s="1360"/>
      <c r="BLP188" s="1925"/>
      <c r="BLQ188" s="955"/>
      <c r="BLR188" s="963"/>
      <c r="BLS188" s="2242"/>
      <c r="BLT188" s="1360"/>
      <c r="BLU188" s="955"/>
      <c r="BLV188" s="1361"/>
      <c r="BLW188" s="1360"/>
      <c r="BLX188" s="1925"/>
      <c r="BLY188" s="955"/>
      <c r="BLZ188" s="963"/>
      <c r="BMA188" s="2242"/>
      <c r="BMB188" s="1360"/>
      <c r="BMC188" s="955"/>
      <c r="BMD188" s="1361"/>
      <c r="BME188" s="1360"/>
      <c r="BMF188" s="1925"/>
      <c r="BMG188" s="955"/>
      <c r="BMH188" s="963"/>
      <c r="BMI188" s="2242"/>
      <c r="BMJ188" s="1360"/>
      <c r="BMK188" s="955"/>
      <c r="BML188" s="1361"/>
      <c r="BMM188" s="1360"/>
      <c r="BMN188" s="1925"/>
      <c r="BMO188" s="955"/>
      <c r="BMP188" s="963"/>
      <c r="BMQ188" s="2242"/>
      <c r="BMR188" s="1360"/>
      <c r="BMS188" s="955"/>
      <c r="BMT188" s="1361"/>
      <c r="BMU188" s="1360"/>
      <c r="BMV188" s="1925"/>
      <c r="BMW188" s="955"/>
      <c r="BMX188" s="963"/>
      <c r="BMY188" s="2242"/>
      <c r="BMZ188" s="1360"/>
      <c r="BNA188" s="955"/>
      <c r="BNB188" s="1361"/>
      <c r="BNC188" s="1360"/>
      <c r="BND188" s="1925"/>
      <c r="BNE188" s="955"/>
      <c r="BNF188" s="963"/>
      <c r="BNG188" s="2242"/>
      <c r="BNH188" s="1360"/>
      <c r="BNI188" s="955"/>
      <c r="BNJ188" s="1361"/>
      <c r="BNK188" s="1360"/>
      <c r="BNL188" s="1925"/>
      <c r="BNM188" s="955"/>
      <c r="BNN188" s="963"/>
      <c r="BNO188" s="2242"/>
      <c r="BNP188" s="1360"/>
      <c r="BNQ188" s="955"/>
      <c r="BNR188" s="1361"/>
      <c r="BNS188" s="1360"/>
      <c r="BNT188" s="1925"/>
      <c r="BNU188" s="955"/>
      <c r="BNV188" s="963"/>
      <c r="BNW188" s="2242"/>
      <c r="BNX188" s="1360"/>
      <c r="BNY188" s="955"/>
      <c r="BNZ188" s="1361"/>
      <c r="BOA188" s="1360"/>
      <c r="BOB188" s="1925"/>
      <c r="BOC188" s="955"/>
      <c r="BOD188" s="963"/>
      <c r="BOE188" s="2242"/>
      <c r="BOF188" s="1360"/>
      <c r="BOG188" s="955"/>
      <c r="BOH188" s="1361"/>
      <c r="BOI188" s="1360"/>
      <c r="BOJ188" s="1925"/>
      <c r="BOK188" s="955"/>
      <c r="BOL188" s="963"/>
      <c r="BOM188" s="2242"/>
      <c r="BON188" s="1360"/>
      <c r="BOO188" s="955"/>
      <c r="BOP188" s="1361"/>
      <c r="BOQ188" s="1360"/>
      <c r="BOR188" s="1925"/>
      <c r="BOS188" s="955"/>
      <c r="BOT188" s="963"/>
      <c r="BOU188" s="2242"/>
      <c r="BOV188" s="1360"/>
      <c r="BOW188" s="955"/>
      <c r="BOX188" s="1361"/>
      <c r="BOY188" s="1360"/>
      <c r="BOZ188" s="1925"/>
      <c r="BPA188" s="955"/>
      <c r="BPB188" s="963"/>
      <c r="BPC188" s="2242"/>
      <c r="BPD188" s="1360"/>
      <c r="BPE188" s="955"/>
      <c r="BPF188" s="1361"/>
      <c r="BPG188" s="1360"/>
      <c r="BPH188" s="1925"/>
      <c r="BPI188" s="955"/>
      <c r="BPJ188" s="963"/>
      <c r="BPK188" s="2242"/>
      <c r="BPL188" s="1360"/>
      <c r="BPM188" s="955"/>
      <c r="BPN188" s="1361"/>
      <c r="BPO188" s="1360"/>
      <c r="BPP188" s="1925"/>
      <c r="BPQ188" s="955"/>
      <c r="BPR188" s="963"/>
      <c r="BPS188" s="2242"/>
      <c r="BPT188" s="1360"/>
      <c r="BPU188" s="955"/>
      <c r="BPV188" s="1361"/>
      <c r="BPW188" s="1360"/>
      <c r="BPX188" s="1925"/>
      <c r="BPY188" s="955"/>
      <c r="BPZ188" s="963"/>
      <c r="BQA188" s="2242"/>
      <c r="BQB188" s="1360"/>
      <c r="BQC188" s="955"/>
      <c r="BQD188" s="1361"/>
      <c r="BQE188" s="1360"/>
      <c r="BQF188" s="1925"/>
      <c r="BQG188" s="955"/>
      <c r="BQH188" s="963"/>
      <c r="BQI188" s="2242"/>
      <c r="BQJ188" s="1360"/>
      <c r="BQK188" s="955"/>
      <c r="BQL188" s="1361"/>
      <c r="BQM188" s="1360"/>
      <c r="BQN188" s="1925"/>
      <c r="BQO188" s="955"/>
      <c r="BQP188" s="963"/>
      <c r="BQQ188" s="2242"/>
      <c r="BQR188" s="1360"/>
      <c r="BQS188" s="955"/>
      <c r="BQT188" s="1361"/>
      <c r="BQU188" s="1360"/>
      <c r="BQV188" s="1925"/>
      <c r="BQW188" s="955"/>
      <c r="BQX188" s="963"/>
      <c r="BQY188" s="2242"/>
      <c r="BQZ188" s="1360"/>
      <c r="BRA188" s="955"/>
      <c r="BRB188" s="1361"/>
      <c r="BRC188" s="1360"/>
      <c r="BRD188" s="1925"/>
      <c r="BRE188" s="955"/>
      <c r="BRF188" s="963"/>
      <c r="BRG188" s="2242"/>
      <c r="BRH188" s="1360"/>
      <c r="BRI188" s="955"/>
      <c r="BRJ188" s="1361"/>
      <c r="BRK188" s="1360"/>
      <c r="BRL188" s="1925"/>
      <c r="BRM188" s="955"/>
      <c r="BRN188" s="963"/>
      <c r="BRO188" s="2242"/>
      <c r="BRP188" s="1360"/>
      <c r="BRQ188" s="955"/>
      <c r="BRR188" s="1361"/>
      <c r="BRS188" s="1360"/>
      <c r="BRT188" s="1925"/>
      <c r="BRU188" s="955"/>
      <c r="BRV188" s="963"/>
      <c r="BRW188" s="2242"/>
      <c r="BRX188" s="1360"/>
      <c r="BRY188" s="955"/>
      <c r="BRZ188" s="1361"/>
      <c r="BSA188" s="1360"/>
      <c r="BSB188" s="1925"/>
      <c r="BSC188" s="955"/>
      <c r="BSD188" s="963"/>
      <c r="BSE188" s="2242"/>
      <c r="BSF188" s="1360"/>
      <c r="BSG188" s="955"/>
      <c r="BSH188" s="1361"/>
      <c r="BSI188" s="1360"/>
      <c r="BSJ188" s="1925"/>
      <c r="BSK188" s="955"/>
      <c r="BSL188" s="963"/>
      <c r="BSM188" s="2242"/>
      <c r="BSN188" s="1360"/>
      <c r="BSO188" s="955"/>
      <c r="BSP188" s="1361"/>
      <c r="BSQ188" s="1360"/>
      <c r="BSR188" s="1925"/>
      <c r="BSS188" s="955"/>
      <c r="BST188" s="963"/>
      <c r="BSU188" s="2242"/>
      <c r="BSV188" s="1360"/>
      <c r="BSW188" s="955"/>
      <c r="BSX188" s="1361"/>
      <c r="BSY188" s="1360"/>
      <c r="BSZ188" s="1925"/>
      <c r="BTA188" s="955"/>
      <c r="BTB188" s="963"/>
      <c r="BTC188" s="2242"/>
      <c r="BTD188" s="1360"/>
      <c r="BTE188" s="955"/>
      <c r="BTF188" s="1361"/>
      <c r="BTG188" s="1360"/>
      <c r="BTH188" s="1925"/>
      <c r="BTI188" s="955"/>
      <c r="BTJ188" s="963"/>
      <c r="BTK188" s="2242"/>
      <c r="BTL188" s="1360"/>
      <c r="BTM188" s="955"/>
      <c r="BTN188" s="1361"/>
      <c r="BTO188" s="1360"/>
      <c r="BTP188" s="1925"/>
      <c r="BTQ188" s="955"/>
      <c r="BTR188" s="963"/>
      <c r="BTS188" s="2242"/>
      <c r="BTT188" s="1360"/>
      <c r="BTU188" s="955"/>
      <c r="BTV188" s="1361"/>
      <c r="BTW188" s="1360"/>
      <c r="BTX188" s="1925"/>
      <c r="BTY188" s="955"/>
      <c r="BTZ188" s="963"/>
      <c r="BUA188" s="2242"/>
      <c r="BUB188" s="1360"/>
      <c r="BUC188" s="955"/>
      <c r="BUD188" s="1361"/>
      <c r="BUE188" s="1360"/>
      <c r="BUF188" s="1925"/>
      <c r="BUG188" s="955"/>
      <c r="BUH188" s="963"/>
      <c r="BUI188" s="2242"/>
      <c r="BUJ188" s="1360"/>
      <c r="BUK188" s="955"/>
      <c r="BUL188" s="1361"/>
      <c r="BUM188" s="1360"/>
      <c r="BUN188" s="1925"/>
      <c r="BUO188" s="955"/>
      <c r="BUP188" s="963"/>
      <c r="BUQ188" s="2242"/>
      <c r="BUR188" s="1360"/>
      <c r="BUS188" s="955"/>
      <c r="BUT188" s="1361"/>
      <c r="BUU188" s="1360"/>
      <c r="BUV188" s="1925"/>
      <c r="BUW188" s="955"/>
      <c r="BUX188" s="963"/>
      <c r="BUY188" s="2242"/>
      <c r="BUZ188" s="1360"/>
      <c r="BVA188" s="955"/>
      <c r="BVB188" s="1361"/>
      <c r="BVC188" s="1360"/>
      <c r="BVD188" s="1925"/>
      <c r="BVE188" s="955"/>
      <c r="BVF188" s="963"/>
      <c r="BVG188" s="2242"/>
      <c r="BVH188" s="1360"/>
      <c r="BVI188" s="955"/>
      <c r="BVJ188" s="1361"/>
      <c r="BVK188" s="1360"/>
      <c r="BVL188" s="1925"/>
      <c r="BVM188" s="955"/>
      <c r="BVN188" s="963"/>
      <c r="BVO188" s="2242"/>
      <c r="BVP188" s="1360"/>
      <c r="BVQ188" s="955"/>
      <c r="BVR188" s="1361"/>
      <c r="BVS188" s="1360"/>
      <c r="BVT188" s="1925"/>
      <c r="BVU188" s="955"/>
      <c r="BVV188" s="963"/>
      <c r="BVW188" s="2242"/>
      <c r="BVX188" s="1360"/>
      <c r="BVY188" s="955"/>
      <c r="BVZ188" s="1361"/>
      <c r="BWA188" s="1360"/>
      <c r="BWB188" s="1925"/>
      <c r="BWC188" s="955"/>
      <c r="BWD188" s="963"/>
      <c r="BWE188" s="2242"/>
      <c r="BWF188" s="1360"/>
      <c r="BWG188" s="955"/>
      <c r="BWH188" s="1361"/>
      <c r="BWI188" s="1360"/>
      <c r="BWJ188" s="1925"/>
      <c r="BWK188" s="955"/>
      <c r="BWL188" s="963"/>
      <c r="BWM188" s="2242"/>
      <c r="BWN188" s="1360"/>
      <c r="BWO188" s="955"/>
      <c r="BWP188" s="1361"/>
      <c r="BWQ188" s="1360"/>
      <c r="BWR188" s="1925"/>
      <c r="BWS188" s="955"/>
      <c r="BWT188" s="963"/>
      <c r="BWU188" s="2242"/>
      <c r="BWV188" s="1360"/>
      <c r="BWW188" s="955"/>
      <c r="BWX188" s="1361"/>
      <c r="BWY188" s="1360"/>
      <c r="BWZ188" s="1925"/>
      <c r="BXA188" s="955"/>
      <c r="BXB188" s="963"/>
      <c r="BXC188" s="2242"/>
      <c r="BXD188" s="1360"/>
      <c r="BXE188" s="955"/>
      <c r="BXF188" s="1361"/>
      <c r="BXG188" s="1360"/>
      <c r="BXH188" s="1925"/>
      <c r="BXI188" s="955"/>
      <c r="BXJ188" s="963"/>
      <c r="BXK188" s="2242"/>
      <c r="BXL188" s="1360"/>
      <c r="BXM188" s="955"/>
      <c r="BXN188" s="1361"/>
      <c r="BXO188" s="1360"/>
      <c r="BXP188" s="1925"/>
      <c r="BXQ188" s="955"/>
      <c r="BXR188" s="963"/>
      <c r="BXS188" s="2242"/>
      <c r="BXT188" s="1360"/>
      <c r="BXU188" s="955"/>
      <c r="BXV188" s="1361"/>
      <c r="BXW188" s="1360"/>
      <c r="BXX188" s="1925"/>
      <c r="BXY188" s="955"/>
      <c r="BXZ188" s="963"/>
      <c r="BYA188" s="2242"/>
      <c r="BYB188" s="1360"/>
      <c r="BYC188" s="955"/>
      <c r="BYD188" s="1361"/>
      <c r="BYE188" s="1360"/>
      <c r="BYF188" s="1925"/>
      <c r="BYG188" s="955"/>
      <c r="BYH188" s="963"/>
      <c r="BYI188" s="2242"/>
      <c r="BYJ188" s="1360"/>
      <c r="BYK188" s="955"/>
      <c r="BYL188" s="1361"/>
      <c r="BYM188" s="1360"/>
      <c r="BYN188" s="1925"/>
      <c r="BYO188" s="955"/>
      <c r="BYP188" s="963"/>
      <c r="BYQ188" s="2242"/>
      <c r="BYR188" s="1360"/>
      <c r="BYS188" s="955"/>
      <c r="BYT188" s="1361"/>
      <c r="BYU188" s="1360"/>
      <c r="BYV188" s="1925"/>
      <c r="BYW188" s="955"/>
      <c r="BYX188" s="963"/>
      <c r="BYY188" s="2242"/>
      <c r="BYZ188" s="1360"/>
      <c r="BZA188" s="955"/>
      <c r="BZB188" s="1361"/>
      <c r="BZC188" s="1360"/>
      <c r="BZD188" s="1925"/>
      <c r="BZE188" s="955"/>
      <c r="BZF188" s="963"/>
      <c r="BZG188" s="2242"/>
      <c r="BZH188" s="1360"/>
      <c r="BZI188" s="955"/>
      <c r="BZJ188" s="1361"/>
      <c r="BZK188" s="1360"/>
      <c r="BZL188" s="1925"/>
      <c r="BZM188" s="955"/>
      <c r="BZN188" s="963"/>
      <c r="BZO188" s="2242"/>
      <c r="BZP188" s="1360"/>
      <c r="BZQ188" s="955"/>
      <c r="BZR188" s="1361"/>
      <c r="BZS188" s="1360"/>
      <c r="BZT188" s="1925"/>
      <c r="BZU188" s="955"/>
      <c r="BZV188" s="963"/>
      <c r="BZW188" s="2242"/>
      <c r="BZX188" s="1360"/>
      <c r="BZY188" s="955"/>
      <c r="BZZ188" s="1361"/>
      <c r="CAA188" s="1360"/>
      <c r="CAB188" s="1925"/>
      <c r="CAC188" s="955"/>
      <c r="CAD188" s="963"/>
      <c r="CAE188" s="2242"/>
      <c r="CAF188" s="1360"/>
      <c r="CAG188" s="955"/>
      <c r="CAH188" s="1361"/>
      <c r="CAI188" s="1360"/>
      <c r="CAJ188" s="1925"/>
      <c r="CAK188" s="955"/>
      <c r="CAL188" s="963"/>
      <c r="CAM188" s="2242"/>
      <c r="CAN188" s="1360"/>
      <c r="CAO188" s="955"/>
      <c r="CAP188" s="1361"/>
      <c r="CAQ188" s="1360"/>
      <c r="CAR188" s="1925"/>
      <c r="CAS188" s="955"/>
      <c r="CAT188" s="963"/>
      <c r="CAU188" s="2242"/>
      <c r="CAV188" s="1360"/>
      <c r="CAW188" s="955"/>
      <c r="CAX188" s="1361"/>
      <c r="CAY188" s="1360"/>
      <c r="CAZ188" s="1925"/>
      <c r="CBA188" s="955"/>
      <c r="CBB188" s="963"/>
      <c r="CBC188" s="2242"/>
      <c r="CBD188" s="1360"/>
      <c r="CBE188" s="955"/>
      <c r="CBF188" s="1361"/>
      <c r="CBG188" s="1360"/>
      <c r="CBH188" s="1925"/>
      <c r="CBI188" s="955"/>
      <c r="CBJ188" s="963"/>
      <c r="CBK188" s="2242"/>
      <c r="CBL188" s="1360"/>
      <c r="CBM188" s="955"/>
      <c r="CBN188" s="1361"/>
      <c r="CBO188" s="1360"/>
      <c r="CBP188" s="1925"/>
      <c r="CBQ188" s="955"/>
      <c r="CBR188" s="963"/>
      <c r="CBS188" s="2242"/>
      <c r="CBT188" s="1360"/>
      <c r="CBU188" s="955"/>
      <c r="CBV188" s="1361"/>
      <c r="CBW188" s="1360"/>
      <c r="CBX188" s="1925"/>
      <c r="CBY188" s="955"/>
      <c r="CBZ188" s="963"/>
      <c r="CCA188" s="2242"/>
      <c r="CCB188" s="1360"/>
      <c r="CCC188" s="955"/>
      <c r="CCD188" s="1361"/>
      <c r="CCE188" s="1360"/>
      <c r="CCF188" s="1925"/>
      <c r="CCG188" s="955"/>
      <c r="CCH188" s="963"/>
      <c r="CCI188" s="2242"/>
      <c r="CCJ188" s="1360"/>
      <c r="CCK188" s="955"/>
      <c r="CCL188" s="1361"/>
      <c r="CCM188" s="1360"/>
      <c r="CCN188" s="1925"/>
      <c r="CCO188" s="955"/>
      <c r="CCP188" s="963"/>
      <c r="CCQ188" s="2242"/>
      <c r="CCR188" s="1360"/>
      <c r="CCS188" s="955"/>
      <c r="CCT188" s="1361"/>
      <c r="CCU188" s="1360"/>
      <c r="CCV188" s="1925"/>
      <c r="CCW188" s="955"/>
      <c r="CCX188" s="963"/>
      <c r="CCY188" s="2242"/>
      <c r="CCZ188" s="1360"/>
      <c r="CDA188" s="955"/>
      <c r="CDB188" s="1361"/>
      <c r="CDC188" s="1360"/>
      <c r="CDD188" s="1925"/>
      <c r="CDE188" s="955"/>
      <c r="CDF188" s="963"/>
      <c r="CDG188" s="2242"/>
      <c r="CDH188" s="1360"/>
      <c r="CDI188" s="955"/>
      <c r="CDJ188" s="1361"/>
      <c r="CDK188" s="1360"/>
      <c r="CDL188" s="1925"/>
      <c r="CDM188" s="955"/>
      <c r="CDN188" s="963"/>
      <c r="CDO188" s="2242"/>
      <c r="CDP188" s="1360"/>
      <c r="CDQ188" s="955"/>
      <c r="CDR188" s="1361"/>
      <c r="CDS188" s="1360"/>
      <c r="CDT188" s="1925"/>
      <c r="CDU188" s="955"/>
      <c r="CDV188" s="963"/>
      <c r="CDW188" s="2242"/>
      <c r="CDX188" s="1360"/>
      <c r="CDY188" s="955"/>
      <c r="CDZ188" s="1361"/>
      <c r="CEA188" s="1360"/>
      <c r="CEB188" s="1925"/>
      <c r="CEC188" s="955"/>
      <c r="CED188" s="963"/>
      <c r="CEE188" s="2242"/>
      <c r="CEF188" s="1360"/>
      <c r="CEG188" s="955"/>
      <c r="CEH188" s="1361"/>
      <c r="CEI188" s="1360"/>
      <c r="CEJ188" s="1925"/>
      <c r="CEK188" s="955"/>
      <c r="CEL188" s="963"/>
      <c r="CEM188" s="2242"/>
      <c r="CEN188" s="1360"/>
      <c r="CEO188" s="955"/>
      <c r="CEP188" s="1361"/>
      <c r="CEQ188" s="1360"/>
      <c r="CER188" s="1925"/>
      <c r="CES188" s="955"/>
      <c r="CET188" s="963"/>
      <c r="CEU188" s="2242"/>
      <c r="CEV188" s="1360"/>
      <c r="CEW188" s="955"/>
      <c r="CEX188" s="1361"/>
      <c r="CEY188" s="1360"/>
      <c r="CEZ188" s="1925"/>
      <c r="CFA188" s="955"/>
      <c r="CFB188" s="963"/>
      <c r="CFC188" s="2242"/>
      <c r="CFD188" s="1360"/>
      <c r="CFE188" s="955"/>
      <c r="CFF188" s="1361"/>
      <c r="CFG188" s="1360"/>
      <c r="CFH188" s="1925"/>
      <c r="CFI188" s="955"/>
      <c r="CFJ188" s="963"/>
      <c r="CFK188" s="2242"/>
      <c r="CFL188" s="1360"/>
      <c r="CFM188" s="955"/>
      <c r="CFN188" s="1361"/>
      <c r="CFO188" s="1360"/>
      <c r="CFP188" s="1925"/>
      <c r="CFQ188" s="955"/>
      <c r="CFR188" s="963"/>
      <c r="CFS188" s="2242"/>
      <c r="CFT188" s="1360"/>
      <c r="CFU188" s="955"/>
      <c r="CFV188" s="1361"/>
      <c r="CFW188" s="1360"/>
      <c r="CFX188" s="1925"/>
      <c r="CFY188" s="955"/>
      <c r="CFZ188" s="963"/>
      <c r="CGA188" s="2242"/>
      <c r="CGB188" s="1360"/>
      <c r="CGC188" s="955"/>
      <c r="CGD188" s="1361"/>
      <c r="CGE188" s="1360"/>
      <c r="CGF188" s="1925"/>
      <c r="CGG188" s="955"/>
      <c r="CGH188" s="963"/>
      <c r="CGI188" s="2242"/>
      <c r="CGJ188" s="1360"/>
      <c r="CGK188" s="955"/>
      <c r="CGL188" s="1361"/>
      <c r="CGM188" s="1360"/>
      <c r="CGN188" s="1925"/>
      <c r="CGO188" s="955"/>
      <c r="CGP188" s="963"/>
      <c r="CGQ188" s="2242"/>
      <c r="CGR188" s="1360"/>
      <c r="CGS188" s="955"/>
      <c r="CGT188" s="1361"/>
      <c r="CGU188" s="1360"/>
      <c r="CGV188" s="1925"/>
      <c r="CGW188" s="955"/>
      <c r="CGX188" s="963"/>
      <c r="CGY188" s="2242"/>
      <c r="CGZ188" s="1360"/>
      <c r="CHA188" s="955"/>
      <c r="CHB188" s="1361"/>
      <c r="CHC188" s="1360"/>
      <c r="CHD188" s="1925"/>
      <c r="CHE188" s="955"/>
      <c r="CHF188" s="963"/>
      <c r="CHG188" s="2242"/>
      <c r="CHH188" s="1360"/>
      <c r="CHI188" s="955"/>
      <c r="CHJ188" s="1361"/>
      <c r="CHK188" s="1360"/>
      <c r="CHL188" s="1925"/>
      <c r="CHM188" s="955"/>
      <c r="CHN188" s="963"/>
      <c r="CHO188" s="2242"/>
      <c r="CHP188" s="1360"/>
      <c r="CHQ188" s="955"/>
      <c r="CHR188" s="1361"/>
      <c r="CHS188" s="1360"/>
      <c r="CHT188" s="1925"/>
      <c r="CHU188" s="955"/>
      <c r="CHV188" s="963"/>
      <c r="CHW188" s="2242"/>
      <c r="CHX188" s="1360"/>
      <c r="CHY188" s="955"/>
      <c r="CHZ188" s="1361"/>
      <c r="CIA188" s="1360"/>
      <c r="CIB188" s="1925"/>
      <c r="CIC188" s="955"/>
      <c r="CID188" s="963"/>
      <c r="CIE188" s="2242"/>
      <c r="CIF188" s="1360"/>
      <c r="CIG188" s="955"/>
      <c r="CIH188" s="1361"/>
      <c r="CII188" s="1360"/>
      <c r="CIJ188" s="1925"/>
      <c r="CIK188" s="955"/>
      <c r="CIL188" s="963"/>
      <c r="CIM188" s="2242"/>
      <c r="CIN188" s="1360"/>
      <c r="CIO188" s="955"/>
      <c r="CIP188" s="1361"/>
      <c r="CIQ188" s="1360"/>
      <c r="CIR188" s="1925"/>
      <c r="CIS188" s="955"/>
      <c r="CIT188" s="963"/>
      <c r="CIU188" s="2242"/>
      <c r="CIV188" s="1360"/>
      <c r="CIW188" s="955"/>
      <c r="CIX188" s="1361"/>
      <c r="CIY188" s="1360"/>
      <c r="CIZ188" s="1925"/>
      <c r="CJA188" s="955"/>
      <c r="CJB188" s="963"/>
      <c r="CJC188" s="2242"/>
      <c r="CJD188" s="1360"/>
      <c r="CJE188" s="955"/>
      <c r="CJF188" s="1361"/>
      <c r="CJG188" s="1360"/>
      <c r="CJH188" s="1925"/>
      <c r="CJI188" s="955"/>
      <c r="CJJ188" s="963"/>
      <c r="CJK188" s="2242"/>
      <c r="CJL188" s="1360"/>
      <c r="CJM188" s="955"/>
      <c r="CJN188" s="1361"/>
      <c r="CJO188" s="1360"/>
      <c r="CJP188" s="1925"/>
      <c r="CJQ188" s="955"/>
      <c r="CJR188" s="963"/>
      <c r="CJS188" s="2242"/>
      <c r="CJT188" s="1360"/>
      <c r="CJU188" s="955"/>
      <c r="CJV188" s="1361"/>
      <c r="CJW188" s="1360"/>
      <c r="CJX188" s="1925"/>
      <c r="CJY188" s="955"/>
      <c r="CJZ188" s="963"/>
      <c r="CKA188" s="2242"/>
      <c r="CKB188" s="1360"/>
      <c r="CKC188" s="955"/>
      <c r="CKD188" s="1361"/>
      <c r="CKE188" s="1360"/>
      <c r="CKF188" s="1925"/>
      <c r="CKG188" s="955"/>
      <c r="CKH188" s="963"/>
      <c r="CKI188" s="2242"/>
      <c r="CKJ188" s="1360"/>
      <c r="CKK188" s="955"/>
      <c r="CKL188" s="1361"/>
      <c r="CKM188" s="1360"/>
      <c r="CKN188" s="1925"/>
      <c r="CKO188" s="955"/>
      <c r="CKP188" s="963"/>
      <c r="CKQ188" s="2242"/>
      <c r="CKR188" s="1360"/>
      <c r="CKS188" s="955"/>
      <c r="CKT188" s="1361"/>
      <c r="CKU188" s="1360"/>
      <c r="CKV188" s="1925"/>
      <c r="CKW188" s="955"/>
      <c r="CKX188" s="963"/>
      <c r="CKY188" s="2242"/>
      <c r="CKZ188" s="1360"/>
      <c r="CLA188" s="955"/>
      <c r="CLB188" s="1361"/>
      <c r="CLC188" s="1360"/>
      <c r="CLD188" s="1925"/>
      <c r="CLE188" s="955"/>
      <c r="CLF188" s="963"/>
      <c r="CLG188" s="2242"/>
      <c r="CLH188" s="1360"/>
      <c r="CLI188" s="955"/>
      <c r="CLJ188" s="1361"/>
      <c r="CLK188" s="1360"/>
      <c r="CLL188" s="1925"/>
      <c r="CLM188" s="955"/>
      <c r="CLN188" s="963"/>
      <c r="CLO188" s="2242"/>
      <c r="CLP188" s="1360"/>
      <c r="CLQ188" s="955"/>
      <c r="CLR188" s="1361"/>
      <c r="CLS188" s="1360"/>
      <c r="CLT188" s="1925"/>
      <c r="CLU188" s="955"/>
      <c r="CLV188" s="963"/>
      <c r="CLW188" s="2242"/>
      <c r="CLX188" s="1360"/>
      <c r="CLY188" s="955"/>
      <c r="CLZ188" s="1361"/>
      <c r="CMA188" s="1360"/>
      <c r="CMB188" s="1925"/>
      <c r="CMC188" s="955"/>
      <c r="CMD188" s="963"/>
      <c r="CME188" s="2242"/>
      <c r="CMF188" s="1360"/>
      <c r="CMG188" s="955"/>
      <c r="CMH188" s="1361"/>
      <c r="CMI188" s="1360"/>
      <c r="CMJ188" s="1925"/>
      <c r="CMK188" s="955"/>
      <c r="CML188" s="963"/>
      <c r="CMM188" s="2242"/>
      <c r="CMN188" s="1360"/>
      <c r="CMO188" s="955"/>
      <c r="CMP188" s="1361"/>
      <c r="CMQ188" s="1360"/>
      <c r="CMR188" s="1925"/>
      <c r="CMS188" s="955"/>
      <c r="CMT188" s="963"/>
      <c r="CMU188" s="2242"/>
      <c r="CMV188" s="1360"/>
      <c r="CMW188" s="955"/>
      <c r="CMX188" s="1361"/>
      <c r="CMY188" s="1360"/>
      <c r="CMZ188" s="1925"/>
      <c r="CNA188" s="955"/>
      <c r="CNB188" s="963"/>
      <c r="CNC188" s="2242"/>
      <c r="CND188" s="1360"/>
      <c r="CNE188" s="955"/>
      <c r="CNF188" s="1361"/>
      <c r="CNG188" s="1360"/>
      <c r="CNH188" s="1925"/>
      <c r="CNI188" s="955"/>
      <c r="CNJ188" s="963"/>
      <c r="CNK188" s="2242"/>
      <c r="CNL188" s="1360"/>
      <c r="CNM188" s="955"/>
      <c r="CNN188" s="1361"/>
      <c r="CNO188" s="1360"/>
      <c r="CNP188" s="1925"/>
      <c r="CNQ188" s="955"/>
      <c r="CNR188" s="963"/>
      <c r="CNS188" s="2242"/>
      <c r="CNT188" s="1360"/>
      <c r="CNU188" s="955"/>
      <c r="CNV188" s="1361"/>
      <c r="CNW188" s="1360"/>
      <c r="CNX188" s="1925"/>
      <c r="CNY188" s="955"/>
      <c r="CNZ188" s="963"/>
      <c r="COA188" s="2242"/>
      <c r="COB188" s="1360"/>
      <c r="COC188" s="955"/>
      <c r="COD188" s="1361"/>
      <c r="COE188" s="1360"/>
      <c r="COF188" s="1925"/>
      <c r="COG188" s="955"/>
      <c r="COH188" s="963"/>
      <c r="COI188" s="2242"/>
      <c r="COJ188" s="1360"/>
      <c r="COK188" s="955"/>
      <c r="COL188" s="1361"/>
      <c r="COM188" s="1360"/>
      <c r="CON188" s="1925"/>
      <c r="COO188" s="955"/>
      <c r="COP188" s="963"/>
      <c r="COQ188" s="2242"/>
      <c r="COR188" s="1360"/>
      <c r="COS188" s="955"/>
      <c r="COT188" s="1361"/>
      <c r="COU188" s="1360"/>
      <c r="COV188" s="1925"/>
      <c r="COW188" s="955"/>
      <c r="COX188" s="963"/>
      <c r="COY188" s="2242"/>
      <c r="COZ188" s="1360"/>
      <c r="CPA188" s="955"/>
      <c r="CPB188" s="1361"/>
      <c r="CPC188" s="1360"/>
      <c r="CPD188" s="1925"/>
      <c r="CPE188" s="955"/>
      <c r="CPF188" s="963"/>
      <c r="CPG188" s="2242"/>
      <c r="CPH188" s="1360"/>
      <c r="CPI188" s="955"/>
      <c r="CPJ188" s="1361"/>
      <c r="CPK188" s="1360"/>
      <c r="CPL188" s="1925"/>
      <c r="CPM188" s="955"/>
      <c r="CPN188" s="963"/>
      <c r="CPO188" s="2242"/>
      <c r="CPP188" s="1360"/>
      <c r="CPQ188" s="955"/>
      <c r="CPR188" s="1361"/>
      <c r="CPS188" s="1360"/>
      <c r="CPT188" s="1925"/>
      <c r="CPU188" s="955"/>
      <c r="CPV188" s="963"/>
      <c r="CPW188" s="2242"/>
      <c r="CPX188" s="1360"/>
      <c r="CPY188" s="955"/>
      <c r="CPZ188" s="1361"/>
      <c r="CQA188" s="1360"/>
      <c r="CQB188" s="1925"/>
      <c r="CQC188" s="955"/>
      <c r="CQD188" s="963"/>
      <c r="CQE188" s="2242"/>
      <c r="CQF188" s="1360"/>
      <c r="CQG188" s="955"/>
      <c r="CQH188" s="1361"/>
      <c r="CQI188" s="1360"/>
      <c r="CQJ188" s="1925"/>
      <c r="CQK188" s="955"/>
      <c r="CQL188" s="963"/>
      <c r="CQM188" s="2242"/>
      <c r="CQN188" s="1360"/>
      <c r="CQO188" s="955"/>
      <c r="CQP188" s="1361"/>
      <c r="CQQ188" s="1360"/>
      <c r="CQR188" s="1925"/>
      <c r="CQS188" s="955"/>
      <c r="CQT188" s="963"/>
      <c r="CQU188" s="2242"/>
      <c r="CQV188" s="1360"/>
      <c r="CQW188" s="955"/>
      <c r="CQX188" s="1361"/>
      <c r="CQY188" s="1360"/>
      <c r="CQZ188" s="1925"/>
      <c r="CRA188" s="955"/>
      <c r="CRB188" s="963"/>
      <c r="CRC188" s="2242"/>
      <c r="CRD188" s="1360"/>
      <c r="CRE188" s="955"/>
      <c r="CRF188" s="1361"/>
      <c r="CRG188" s="1360"/>
      <c r="CRH188" s="1925"/>
      <c r="CRI188" s="955"/>
      <c r="CRJ188" s="963"/>
      <c r="CRK188" s="2242"/>
      <c r="CRL188" s="1360"/>
      <c r="CRM188" s="955"/>
      <c r="CRN188" s="1361"/>
      <c r="CRO188" s="1360"/>
      <c r="CRP188" s="1925"/>
      <c r="CRQ188" s="955"/>
      <c r="CRR188" s="963"/>
      <c r="CRS188" s="2242"/>
      <c r="CRT188" s="1360"/>
      <c r="CRU188" s="955"/>
      <c r="CRV188" s="1361"/>
      <c r="CRW188" s="1360"/>
      <c r="CRX188" s="1925"/>
      <c r="CRY188" s="955"/>
      <c r="CRZ188" s="963"/>
      <c r="CSA188" s="2242"/>
      <c r="CSB188" s="1360"/>
      <c r="CSC188" s="955"/>
      <c r="CSD188" s="1361"/>
      <c r="CSE188" s="1360"/>
      <c r="CSF188" s="1925"/>
      <c r="CSG188" s="955"/>
      <c r="CSH188" s="963"/>
      <c r="CSI188" s="2242"/>
      <c r="CSJ188" s="1360"/>
      <c r="CSK188" s="955"/>
      <c r="CSL188" s="1361"/>
      <c r="CSM188" s="1360"/>
      <c r="CSN188" s="1925"/>
      <c r="CSO188" s="955"/>
      <c r="CSP188" s="963"/>
      <c r="CSQ188" s="2242"/>
      <c r="CSR188" s="1360"/>
      <c r="CSS188" s="955"/>
      <c r="CST188" s="1361"/>
      <c r="CSU188" s="1360"/>
      <c r="CSV188" s="1925"/>
      <c r="CSW188" s="955"/>
      <c r="CSX188" s="963"/>
      <c r="CSY188" s="2242"/>
      <c r="CSZ188" s="1360"/>
      <c r="CTA188" s="955"/>
      <c r="CTB188" s="1361"/>
      <c r="CTC188" s="1360"/>
      <c r="CTD188" s="1925"/>
      <c r="CTE188" s="955"/>
      <c r="CTF188" s="963"/>
      <c r="CTG188" s="2242"/>
      <c r="CTH188" s="1360"/>
      <c r="CTI188" s="955"/>
      <c r="CTJ188" s="1361"/>
      <c r="CTK188" s="1360"/>
      <c r="CTL188" s="1925"/>
      <c r="CTM188" s="955"/>
      <c r="CTN188" s="963"/>
      <c r="CTO188" s="2242"/>
      <c r="CTP188" s="1360"/>
      <c r="CTQ188" s="955"/>
      <c r="CTR188" s="1361"/>
      <c r="CTS188" s="1360"/>
      <c r="CTT188" s="1925"/>
      <c r="CTU188" s="955"/>
      <c r="CTV188" s="963"/>
      <c r="CTW188" s="2242"/>
      <c r="CTX188" s="1360"/>
      <c r="CTY188" s="955"/>
      <c r="CTZ188" s="1361"/>
      <c r="CUA188" s="1360"/>
      <c r="CUB188" s="1925"/>
      <c r="CUC188" s="955"/>
      <c r="CUD188" s="963"/>
      <c r="CUE188" s="2242"/>
      <c r="CUF188" s="1360"/>
      <c r="CUG188" s="955"/>
      <c r="CUH188" s="1361"/>
      <c r="CUI188" s="1360"/>
      <c r="CUJ188" s="1925"/>
      <c r="CUK188" s="955"/>
      <c r="CUL188" s="963"/>
      <c r="CUM188" s="2242"/>
      <c r="CUN188" s="1360"/>
      <c r="CUO188" s="955"/>
      <c r="CUP188" s="1361"/>
      <c r="CUQ188" s="1360"/>
      <c r="CUR188" s="1925"/>
      <c r="CUS188" s="955"/>
      <c r="CUT188" s="963"/>
      <c r="CUU188" s="2242"/>
      <c r="CUV188" s="1360"/>
      <c r="CUW188" s="955"/>
      <c r="CUX188" s="1361"/>
      <c r="CUY188" s="1360"/>
      <c r="CUZ188" s="1925"/>
      <c r="CVA188" s="955"/>
      <c r="CVB188" s="963"/>
      <c r="CVC188" s="2242"/>
      <c r="CVD188" s="1360"/>
      <c r="CVE188" s="955"/>
      <c r="CVF188" s="1361"/>
      <c r="CVG188" s="1360"/>
      <c r="CVH188" s="1925"/>
      <c r="CVI188" s="955"/>
      <c r="CVJ188" s="963"/>
      <c r="CVK188" s="2242"/>
      <c r="CVL188" s="1360"/>
      <c r="CVM188" s="955"/>
      <c r="CVN188" s="1361"/>
      <c r="CVO188" s="1360"/>
      <c r="CVP188" s="1925"/>
      <c r="CVQ188" s="955"/>
      <c r="CVR188" s="963"/>
      <c r="CVS188" s="2242"/>
      <c r="CVT188" s="1360"/>
      <c r="CVU188" s="955"/>
      <c r="CVV188" s="1361"/>
      <c r="CVW188" s="1360"/>
      <c r="CVX188" s="1925"/>
      <c r="CVY188" s="955"/>
      <c r="CVZ188" s="963"/>
      <c r="CWA188" s="2242"/>
      <c r="CWB188" s="1360"/>
      <c r="CWC188" s="955"/>
      <c r="CWD188" s="1361"/>
      <c r="CWE188" s="1360"/>
      <c r="CWF188" s="1925"/>
      <c r="CWG188" s="955"/>
      <c r="CWH188" s="963"/>
      <c r="CWI188" s="2242"/>
      <c r="CWJ188" s="1360"/>
      <c r="CWK188" s="955"/>
      <c r="CWL188" s="1361"/>
      <c r="CWM188" s="1360"/>
      <c r="CWN188" s="1925"/>
      <c r="CWO188" s="955"/>
      <c r="CWP188" s="963"/>
      <c r="CWQ188" s="2242"/>
      <c r="CWR188" s="1360"/>
      <c r="CWS188" s="955"/>
      <c r="CWT188" s="1361"/>
      <c r="CWU188" s="1360"/>
      <c r="CWV188" s="1925"/>
      <c r="CWW188" s="955"/>
      <c r="CWX188" s="963"/>
      <c r="CWY188" s="2242"/>
      <c r="CWZ188" s="1360"/>
      <c r="CXA188" s="955"/>
      <c r="CXB188" s="1361"/>
      <c r="CXC188" s="1360"/>
      <c r="CXD188" s="1925"/>
      <c r="CXE188" s="955"/>
      <c r="CXF188" s="963"/>
      <c r="CXG188" s="2242"/>
      <c r="CXH188" s="1360"/>
      <c r="CXI188" s="955"/>
      <c r="CXJ188" s="1361"/>
      <c r="CXK188" s="1360"/>
      <c r="CXL188" s="1925"/>
      <c r="CXM188" s="955"/>
      <c r="CXN188" s="963"/>
      <c r="CXO188" s="2242"/>
      <c r="CXP188" s="1360"/>
      <c r="CXQ188" s="955"/>
      <c r="CXR188" s="1361"/>
      <c r="CXS188" s="1360"/>
      <c r="CXT188" s="1925"/>
      <c r="CXU188" s="955"/>
      <c r="CXV188" s="963"/>
      <c r="CXW188" s="2242"/>
      <c r="CXX188" s="1360"/>
      <c r="CXY188" s="955"/>
      <c r="CXZ188" s="1361"/>
      <c r="CYA188" s="1360"/>
      <c r="CYB188" s="1925"/>
      <c r="CYC188" s="955"/>
      <c r="CYD188" s="963"/>
      <c r="CYE188" s="2242"/>
      <c r="CYF188" s="1360"/>
      <c r="CYG188" s="955"/>
      <c r="CYH188" s="1361"/>
      <c r="CYI188" s="1360"/>
      <c r="CYJ188" s="1925"/>
      <c r="CYK188" s="955"/>
      <c r="CYL188" s="963"/>
      <c r="CYM188" s="2242"/>
      <c r="CYN188" s="1360"/>
      <c r="CYO188" s="955"/>
      <c r="CYP188" s="1361"/>
      <c r="CYQ188" s="1360"/>
      <c r="CYR188" s="1925"/>
      <c r="CYS188" s="955"/>
      <c r="CYT188" s="963"/>
      <c r="CYU188" s="2242"/>
      <c r="CYV188" s="1360"/>
      <c r="CYW188" s="955"/>
      <c r="CYX188" s="1361"/>
      <c r="CYY188" s="1360"/>
      <c r="CYZ188" s="1925"/>
      <c r="CZA188" s="955"/>
      <c r="CZB188" s="963"/>
      <c r="CZC188" s="2242"/>
      <c r="CZD188" s="1360"/>
      <c r="CZE188" s="955"/>
      <c r="CZF188" s="1361"/>
      <c r="CZG188" s="1360"/>
      <c r="CZH188" s="1925"/>
      <c r="CZI188" s="955"/>
      <c r="CZJ188" s="963"/>
      <c r="CZK188" s="2242"/>
      <c r="CZL188" s="1360"/>
      <c r="CZM188" s="955"/>
      <c r="CZN188" s="1361"/>
      <c r="CZO188" s="1360"/>
      <c r="CZP188" s="1925"/>
      <c r="CZQ188" s="955"/>
      <c r="CZR188" s="963"/>
      <c r="CZS188" s="2242"/>
      <c r="CZT188" s="1360"/>
      <c r="CZU188" s="955"/>
      <c r="CZV188" s="1361"/>
      <c r="CZW188" s="1360"/>
      <c r="CZX188" s="1925"/>
      <c r="CZY188" s="955"/>
      <c r="CZZ188" s="963"/>
      <c r="DAA188" s="2242"/>
      <c r="DAB188" s="1360"/>
      <c r="DAC188" s="955"/>
      <c r="DAD188" s="1361"/>
      <c r="DAE188" s="1360"/>
      <c r="DAF188" s="1925"/>
      <c r="DAG188" s="955"/>
      <c r="DAH188" s="963"/>
      <c r="DAI188" s="2242"/>
      <c r="DAJ188" s="1360"/>
      <c r="DAK188" s="955"/>
      <c r="DAL188" s="1361"/>
      <c r="DAM188" s="1360"/>
      <c r="DAN188" s="1925"/>
      <c r="DAO188" s="955"/>
      <c r="DAP188" s="963"/>
      <c r="DAQ188" s="2242"/>
      <c r="DAR188" s="1360"/>
      <c r="DAS188" s="955"/>
      <c r="DAT188" s="1361"/>
      <c r="DAU188" s="1360"/>
      <c r="DAV188" s="1925"/>
      <c r="DAW188" s="955"/>
      <c r="DAX188" s="963"/>
      <c r="DAY188" s="2242"/>
      <c r="DAZ188" s="1360"/>
      <c r="DBA188" s="955"/>
      <c r="DBB188" s="1361"/>
      <c r="DBC188" s="1360"/>
      <c r="DBD188" s="1925"/>
      <c r="DBE188" s="955"/>
      <c r="DBF188" s="963"/>
      <c r="DBG188" s="2242"/>
      <c r="DBH188" s="1360"/>
      <c r="DBI188" s="955"/>
      <c r="DBJ188" s="1361"/>
      <c r="DBK188" s="1360"/>
      <c r="DBL188" s="1925"/>
      <c r="DBM188" s="955"/>
      <c r="DBN188" s="963"/>
      <c r="DBO188" s="2242"/>
      <c r="DBP188" s="1360"/>
      <c r="DBQ188" s="955"/>
      <c r="DBR188" s="1361"/>
      <c r="DBS188" s="1360"/>
      <c r="DBT188" s="1925"/>
      <c r="DBU188" s="955"/>
      <c r="DBV188" s="963"/>
      <c r="DBW188" s="2242"/>
      <c r="DBX188" s="1360"/>
      <c r="DBY188" s="955"/>
      <c r="DBZ188" s="1361"/>
      <c r="DCA188" s="1360"/>
      <c r="DCB188" s="1925"/>
      <c r="DCC188" s="955"/>
      <c r="DCD188" s="963"/>
      <c r="DCE188" s="2242"/>
      <c r="DCF188" s="1360"/>
      <c r="DCG188" s="955"/>
      <c r="DCH188" s="1361"/>
      <c r="DCI188" s="1360"/>
      <c r="DCJ188" s="1925"/>
      <c r="DCK188" s="955"/>
      <c r="DCL188" s="963"/>
      <c r="DCM188" s="2242"/>
      <c r="DCN188" s="1360"/>
      <c r="DCO188" s="955"/>
      <c r="DCP188" s="1361"/>
      <c r="DCQ188" s="1360"/>
      <c r="DCR188" s="1925"/>
      <c r="DCS188" s="955"/>
      <c r="DCT188" s="963"/>
      <c r="DCU188" s="2242"/>
      <c r="DCV188" s="1360"/>
      <c r="DCW188" s="955"/>
      <c r="DCX188" s="1361"/>
      <c r="DCY188" s="1360"/>
      <c r="DCZ188" s="1925"/>
      <c r="DDA188" s="955"/>
      <c r="DDB188" s="963"/>
      <c r="DDC188" s="2242"/>
      <c r="DDD188" s="1360"/>
      <c r="DDE188" s="955"/>
      <c r="DDF188" s="1361"/>
      <c r="DDG188" s="1360"/>
      <c r="DDH188" s="1925"/>
      <c r="DDI188" s="955"/>
      <c r="DDJ188" s="963"/>
      <c r="DDK188" s="2242"/>
      <c r="DDL188" s="1360"/>
      <c r="DDM188" s="955"/>
      <c r="DDN188" s="1361"/>
      <c r="DDO188" s="1360"/>
      <c r="DDP188" s="1925"/>
      <c r="DDQ188" s="955"/>
      <c r="DDR188" s="963"/>
      <c r="DDS188" s="2242"/>
      <c r="DDT188" s="1360"/>
      <c r="DDU188" s="955"/>
      <c r="DDV188" s="1361"/>
      <c r="DDW188" s="1360"/>
      <c r="DDX188" s="1925"/>
      <c r="DDY188" s="955"/>
      <c r="DDZ188" s="963"/>
      <c r="DEA188" s="2242"/>
      <c r="DEB188" s="1360"/>
      <c r="DEC188" s="955"/>
      <c r="DED188" s="1361"/>
      <c r="DEE188" s="1360"/>
      <c r="DEF188" s="1925"/>
      <c r="DEG188" s="955"/>
      <c r="DEH188" s="963"/>
      <c r="DEI188" s="2242"/>
      <c r="DEJ188" s="1360"/>
      <c r="DEK188" s="955"/>
      <c r="DEL188" s="1361"/>
      <c r="DEM188" s="1360"/>
      <c r="DEN188" s="1925"/>
      <c r="DEO188" s="955"/>
      <c r="DEP188" s="963"/>
      <c r="DEQ188" s="2242"/>
      <c r="DER188" s="1360"/>
      <c r="DES188" s="955"/>
      <c r="DET188" s="1361"/>
      <c r="DEU188" s="1360"/>
      <c r="DEV188" s="1925"/>
      <c r="DEW188" s="955"/>
      <c r="DEX188" s="963"/>
      <c r="DEY188" s="2242"/>
      <c r="DEZ188" s="1360"/>
      <c r="DFA188" s="955"/>
      <c r="DFB188" s="1361"/>
      <c r="DFC188" s="1360"/>
      <c r="DFD188" s="1925"/>
      <c r="DFE188" s="955"/>
      <c r="DFF188" s="963"/>
      <c r="DFG188" s="2242"/>
      <c r="DFH188" s="1360"/>
      <c r="DFI188" s="955"/>
      <c r="DFJ188" s="1361"/>
      <c r="DFK188" s="1360"/>
      <c r="DFL188" s="1925"/>
      <c r="DFM188" s="955"/>
      <c r="DFN188" s="963"/>
      <c r="DFO188" s="2242"/>
      <c r="DFP188" s="1360"/>
      <c r="DFQ188" s="955"/>
      <c r="DFR188" s="1361"/>
      <c r="DFS188" s="1360"/>
      <c r="DFT188" s="1925"/>
      <c r="DFU188" s="955"/>
      <c r="DFV188" s="963"/>
      <c r="DFW188" s="2242"/>
      <c r="DFX188" s="1360"/>
      <c r="DFY188" s="955"/>
      <c r="DFZ188" s="1361"/>
      <c r="DGA188" s="1360"/>
      <c r="DGB188" s="1925"/>
      <c r="DGC188" s="955"/>
      <c r="DGD188" s="963"/>
      <c r="DGE188" s="2242"/>
      <c r="DGF188" s="1360"/>
      <c r="DGG188" s="955"/>
      <c r="DGH188" s="1361"/>
      <c r="DGI188" s="1360"/>
      <c r="DGJ188" s="1925"/>
      <c r="DGK188" s="955"/>
      <c r="DGL188" s="963"/>
      <c r="DGM188" s="2242"/>
      <c r="DGN188" s="1360"/>
      <c r="DGO188" s="955"/>
      <c r="DGP188" s="1361"/>
      <c r="DGQ188" s="1360"/>
      <c r="DGR188" s="1925"/>
      <c r="DGS188" s="955"/>
      <c r="DGT188" s="963"/>
      <c r="DGU188" s="2242"/>
      <c r="DGV188" s="1360"/>
      <c r="DGW188" s="955"/>
      <c r="DGX188" s="1361"/>
      <c r="DGY188" s="1360"/>
      <c r="DGZ188" s="1925"/>
      <c r="DHA188" s="955"/>
      <c r="DHB188" s="963"/>
      <c r="DHC188" s="2242"/>
      <c r="DHD188" s="1360"/>
      <c r="DHE188" s="955"/>
      <c r="DHF188" s="1361"/>
      <c r="DHG188" s="1360"/>
      <c r="DHH188" s="1925"/>
      <c r="DHI188" s="955"/>
      <c r="DHJ188" s="963"/>
      <c r="DHK188" s="2242"/>
      <c r="DHL188" s="1360"/>
      <c r="DHM188" s="955"/>
      <c r="DHN188" s="1361"/>
      <c r="DHO188" s="1360"/>
      <c r="DHP188" s="1925"/>
      <c r="DHQ188" s="955"/>
      <c r="DHR188" s="963"/>
      <c r="DHS188" s="2242"/>
      <c r="DHT188" s="1360"/>
      <c r="DHU188" s="955"/>
      <c r="DHV188" s="1361"/>
      <c r="DHW188" s="1360"/>
      <c r="DHX188" s="1925"/>
      <c r="DHY188" s="955"/>
      <c r="DHZ188" s="963"/>
      <c r="DIA188" s="2242"/>
      <c r="DIB188" s="1360"/>
      <c r="DIC188" s="955"/>
      <c r="DID188" s="1361"/>
      <c r="DIE188" s="1360"/>
      <c r="DIF188" s="1925"/>
      <c r="DIG188" s="955"/>
      <c r="DIH188" s="963"/>
      <c r="DII188" s="2242"/>
      <c r="DIJ188" s="1360"/>
      <c r="DIK188" s="955"/>
      <c r="DIL188" s="1361"/>
      <c r="DIM188" s="1360"/>
      <c r="DIN188" s="1925"/>
      <c r="DIO188" s="955"/>
      <c r="DIP188" s="963"/>
      <c r="DIQ188" s="2242"/>
      <c r="DIR188" s="1360"/>
      <c r="DIS188" s="955"/>
      <c r="DIT188" s="1361"/>
      <c r="DIU188" s="1360"/>
      <c r="DIV188" s="1925"/>
      <c r="DIW188" s="955"/>
      <c r="DIX188" s="963"/>
      <c r="DIY188" s="2242"/>
      <c r="DIZ188" s="1360"/>
      <c r="DJA188" s="955"/>
      <c r="DJB188" s="1361"/>
      <c r="DJC188" s="1360"/>
      <c r="DJD188" s="1925"/>
      <c r="DJE188" s="955"/>
      <c r="DJF188" s="963"/>
      <c r="DJG188" s="2242"/>
      <c r="DJH188" s="1360"/>
      <c r="DJI188" s="955"/>
      <c r="DJJ188" s="1361"/>
      <c r="DJK188" s="1360"/>
      <c r="DJL188" s="1925"/>
      <c r="DJM188" s="955"/>
      <c r="DJN188" s="963"/>
      <c r="DJO188" s="2242"/>
      <c r="DJP188" s="1360"/>
      <c r="DJQ188" s="955"/>
      <c r="DJR188" s="1361"/>
      <c r="DJS188" s="1360"/>
      <c r="DJT188" s="1925"/>
      <c r="DJU188" s="955"/>
      <c r="DJV188" s="963"/>
      <c r="DJW188" s="2242"/>
      <c r="DJX188" s="1360"/>
      <c r="DJY188" s="955"/>
      <c r="DJZ188" s="1361"/>
      <c r="DKA188" s="1360"/>
      <c r="DKB188" s="1925"/>
      <c r="DKC188" s="955"/>
      <c r="DKD188" s="963"/>
      <c r="DKE188" s="2242"/>
      <c r="DKF188" s="1360"/>
      <c r="DKG188" s="955"/>
      <c r="DKH188" s="1361"/>
      <c r="DKI188" s="1360"/>
      <c r="DKJ188" s="1925"/>
      <c r="DKK188" s="955"/>
      <c r="DKL188" s="963"/>
      <c r="DKM188" s="2242"/>
      <c r="DKN188" s="1360"/>
      <c r="DKO188" s="955"/>
      <c r="DKP188" s="1361"/>
      <c r="DKQ188" s="1360"/>
      <c r="DKR188" s="1925"/>
      <c r="DKS188" s="955"/>
      <c r="DKT188" s="963"/>
      <c r="DKU188" s="2242"/>
      <c r="DKV188" s="1360"/>
      <c r="DKW188" s="955"/>
      <c r="DKX188" s="1361"/>
      <c r="DKY188" s="1360"/>
      <c r="DKZ188" s="1925"/>
      <c r="DLA188" s="955"/>
      <c r="DLB188" s="963"/>
      <c r="DLC188" s="2242"/>
      <c r="DLD188" s="1360"/>
      <c r="DLE188" s="955"/>
      <c r="DLF188" s="1361"/>
      <c r="DLG188" s="1360"/>
      <c r="DLH188" s="1925"/>
      <c r="DLI188" s="955"/>
      <c r="DLJ188" s="963"/>
      <c r="DLK188" s="2242"/>
      <c r="DLL188" s="1360"/>
      <c r="DLM188" s="955"/>
      <c r="DLN188" s="1361"/>
      <c r="DLO188" s="1360"/>
      <c r="DLP188" s="1925"/>
      <c r="DLQ188" s="955"/>
      <c r="DLR188" s="963"/>
      <c r="DLS188" s="2242"/>
      <c r="DLT188" s="1360"/>
      <c r="DLU188" s="955"/>
      <c r="DLV188" s="1361"/>
      <c r="DLW188" s="1360"/>
      <c r="DLX188" s="1925"/>
      <c r="DLY188" s="955"/>
      <c r="DLZ188" s="963"/>
      <c r="DMA188" s="2242"/>
      <c r="DMB188" s="1360"/>
      <c r="DMC188" s="955"/>
      <c r="DMD188" s="1361"/>
      <c r="DME188" s="1360"/>
      <c r="DMF188" s="1925"/>
      <c r="DMG188" s="955"/>
      <c r="DMH188" s="963"/>
      <c r="DMI188" s="2242"/>
      <c r="DMJ188" s="1360"/>
      <c r="DMK188" s="955"/>
      <c r="DML188" s="1361"/>
      <c r="DMM188" s="1360"/>
      <c r="DMN188" s="1925"/>
      <c r="DMO188" s="955"/>
      <c r="DMP188" s="963"/>
      <c r="DMQ188" s="2242"/>
      <c r="DMR188" s="1360"/>
      <c r="DMS188" s="955"/>
      <c r="DMT188" s="1361"/>
      <c r="DMU188" s="1360"/>
      <c r="DMV188" s="1925"/>
      <c r="DMW188" s="955"/>
      <c r="DMX188" s="963"/>
      <c r="DMY188" s="2242"/>
      <c r="DMZ188" s="1360"/>
      <c r="DNA188" s="955"/>
      <c r="DNB188" s="1361"/>
      <c r="DNC188" s="1360"/>
      <c r="DND188" s="1925"/>
      <c r="DNE188" s="955"/>
      <c r="DNF188" s="963"/>
      <c r="DNG188" s="2242"/>
      <c r="DNH188" s="1360"/>
      <c r="DNI188" s="955"/>
      <c r="DNJ188" s="1361"/>
      <c r="DNK188" s="1360"/>
      <c r="DNL188" s="1925"/>
      <c r="DNM188" s="955"/>
      <c r="DNN188" s="963"/>
      <c r="DNO188" s="2242"/>
      <c r="DNP188" s="1360"/>
      <c r="DNQ188" s="955"/>
      <c r="DNR188" s="1361"/>
      <c r="DNS188" s="1360"/>
      <c r="DNT188" s="1925"/>
      <c r="DNU188" s="955"/>
      <c r="DNV188" s="963"/>
      <c r="DNW188" s="2242"/>
      <c r="DNX188" s="1360"/>
      <c r="DNY188" s="955"/>
      <c r="DNZ188" s="1361"/>
      <c r="DOA188" s="1360"/>
      <c r="DOB188" s="1925"/>
      <c r="DOC188" s="955"/>
      <c r="DOD188" s="963"/>
      <c r="DOE188" s="2242"/>
      <c r="DOF188" s="1360"/>
      <c r="DOG188" s="955"/>
      <c r="DOH188" s="1361"/>
      <c r="DOI188" s="1360"/>
      <c r="DOJ188" s="1925"/>
      <c r="DOK188" s="955"/>
      <c r="DOL188" s="963"/>
      <c r="DOM188" s="2242"/>
      <c r="DON188" s="1360"/>
      <c r="DOO188" s="955"/>
      <c r="DOP188" s="1361"/>
      <c r="DOQ188" s="1360"/>
      <c r="DOR188" s="1925"/>
      <c r="DOS188" s="955"/>
      <c r="DOT188" s="963"/>
      <c r="DOU188" s="2242"/>
      <c r="DOV188" s="1360"/>
      <c r="DOW188" s="955"/>
      <c r="DOX188" s="1361"/>
      <c r="DOY188" s="1360"/>
      <c r="DOZ188" s="1925"/>
      <c r="DPA188" s="955"/>
      <c r="DPB188" s="963"/>
      <c r="DPC188" s="2242"/>
      <c r="DPD188" s="1360"/>
      <c r="DPE188" s="955"/>
      <c r="DPF188" s="1361"/>
      <c r="DPG188" s="1360"/>
      <c r="DPH188" s="1925"/>
      <c r="DPI188" s="955"/>
      <c r="DPJ188" s="963"/>
      <c r="DPK188" s="2242"/>
      <c r="DPL188" s="1360"/>
      <c r="DPM188" s="955"/>
      <c r="DPN188" s="1361"/>
      <c r="DPO188" s="1360"/>
      <c r="DPP188" s="1925"/>
      <c r="DPQ188" s="955"/>
      <c r="DPR188" s="963"/>
      <c r="DPS188" s="2242"/>
      <c r="DPT188" s="1360"/>
      <c r="DPU188" s="955"/>
      <c r="DPV188" s="1361"/>
      <c r="DPW188" s="1360"/>
      <c r="DPX188" s="1925"/>
      <c r="DPY188" s="955"/>
      <c r="DPZ188" s="963"/>
      <c r="DQA188" s="2242"/>
      <c r="DQB188" s="1360"/>
      <c r="DQC188" s="955"/>
      <c r="DQD188" s="1361"/>
      <c r="DQE188" s="1360"/>
      <c r="DQF188" s="1925"/>
      <c r="DQG188" s="955"/>
      <c r="DQH188" s="963"/>
      <c r="DQI188" s="2242"/>
      <c r="DQJ188" s="1360"/>
      <c r="DQK188" s="955"/>
      <c r="DQL188" s="1361"/>
      <c r="DQM188" s="1360"/>
      <c r="DQN188" s="1925"/>
      <c r="DQO188" s="955"/>
      <c r="DQP188" s="963"/>
      <c r="DQQ188" s="2242"/>
      <c r="DQR188" s="1360"/>
      <c r="DQS188" s="955"/>
      <c r="DQT188" s="1361"/>
      <c r="DQU188" s="1360"/>
      <c r="DQV188" s="1925"/>
      <c r="DQW188" s="955"/>
      <c r="DQX188" s="963"/>
      <c r="DQY188" s="2242"/>
      <c r="DQZ188" s="1360"/>
      <c r="DRA188" s="955"/>
      <c r="DRB188" s="1361"/>
      <c r="DRC188" s="1360"/>
      <c r="DRD188" s="1925"/>
      <c r="DRE188" s="955"/>
      <c r="DRF188" s="963"/>
      <c r="DRG188" s="2242"/>
      <c r="DRH188" s="1360"/>
      <c r="DRI188" s="955"/>
      <c r="DRJ188" s="1361"/>
      <c r="DRK188" s="1360"/>
      <c r="DRL188" s="1925"/>
      <c r="DRM188" s="955"/>
      <c r="DRN188" s="963"/>
      <c r="DRO188" s="2242"/>
      <c r="DRP188" s="1360"/>
      <c r="DRQ188" s="955"/>
      <c r="DRR188" s="1361"/>
      <c r="DRS188" s="1360"/>
      <c r="DRT188" s="1925"/>
      <c r="DRU188" s="955"/>
      <c r="DRV188" s="963"/>
      <c r="DRW188" s="2242"/>
      <c r="DRX188" s="1360"/>
      <c r="DRY188" s="955"/>
      <c r="DRZ188" s="1361"/>
      <c r="DSA188" s="1360"/>
      <c r="DSB188" s="1925"/>
      <c r="DSC188" s="955"/>
      <c r="DSD188" s="963"/>
      <c r="DSE188" s="2242"/>
      <c r="DSF188" s="1360"/>
      <c r="DSG188" s="955"/>
      <c r="DSH188" s="1361"/>
      <c r="DSI188" s="1360"/>
      <c r="DSJ188" s="1925"/>
      <c r="DSK188" s="955"/>
      <c r="DSL188" s="963"/>
      <c r="DSM188" s="2242"/>
      <c r="DSN188" s="1360"/>
      <c r="DSO188" s="955"/>
      <c r="DSP188" s="1361"/>
      <c r="DSQ188" s="1360"/>
      <c r="DSR188" s="1925"/>
      <c r="DSS188" s="955"/>
      <c r="DST188" s="963"/>
      <c r="DSU188" s="2242"/>
      <c r="DSV188" s="1360"/>
      <c r="DSW188" s="955"/>
      <c r="DSX188" s="1361"/>
      <c r="DSY188" s="1360"/>
      <c r="DSZ188" s="1925"/>
      <c r="DTA188" s="955"/>
      <c r="DTB188" s="963"/>
      <c r="DTC188" s="2242"/>
      <c r="DTD188" s="1360"/>
      <c r="DTE188" s="955"/>
      <c r="DTF188" s="1361"/>
      <c r="DTG188" s="1360"/>
      <c r="DTH188" s="1925"/>
      <c r="DTI188" s="955"/>
      <c r="DTJ188" s="963"/>
      <c r="DTK188" s="2242"/>
      <c r="DTL188" s="1360"/>
      <c r="DTM188" s="955"/>
      <c r="DTN188" s="1361"/>
      <c r="DTO188" s="1360"/>
      <c r="DTP188" s="1925"/>
      <c r="DTQ188" s="955"/>
      <c r="DTR188" s="963"/>
      <c r="DTS188" s="2242"/>
      <c r="DTT188" s="1360"/>
      <c r="DTU188" s="955"/>
      <c r="DTV188" s="1361"/>
      <c r="DTW188" s="1360"/>
      <c r="DTX188" s="1925"/>
      <c r="DTY188" s="955"/>
      <c r="DTZ188" s="963"/>
      <c r="DUA188" s="2242"/>
      <c r="DUB188" s="1360"/>
      <c r="DUC188" s="955"/>
      <c r="DUD188" s="1361"/>
      <c r="DUE188" s="1360"/>
      <c r="DUF188" s="1925"/>
      <c r="DUG188" s="955"/>
      <c r="DUH188" s="963"/>
      <c r="DUI188" s="2242"/>
      <c r="DUJ188" s="1360"/>
      <c r="DUK188" s="955"/>
      <c r="DUL188" s="1361"/>
      <c r="DUM188" s="1360"/>
      <c r="DUN188" s="1925"/>
      <c r="DUO188" s="955"/>
      <c r="DUP188" s="963"/>
      <c r="DUQ188" s="2242"/>
      <c r="DUR188" s="1360"/>
      <c r="DUS188" s="955"/>
      <c r="DUT188" s="1361"/>
      <c r="DUU188" s="1360"/>
      <c r="DUV188" s="1925"/>
      <c r="DUW188" s="955"/>
      <c r="DUX188" s="963"/>
      <c r="DUY188" s="2242"/>
      <c r="DUZ188" s="1360"/>
      <c r="DVA188" s="955"/>
      <c r="DVB188" s="1361"/>
      <c r="DVC188" s="1360"/>
      <c r="DVD188" s="1925"/>
      <c r="DVE188" s="955"/>
      <c r="DVF188" s="963"/>
      <c r="DVG188" s="2242"/>
      <c r="DVH188" s="1360"/>
      <c r="DVI188" s="955"/>
      <c r="DVJ188" s="1361"/>
      <c r="DVK188" s="1360"/>
      <c r="DVL188" s="1925"/>
      <c r="DVM188" s="955"/>
      <c r="DVN188" s="963"/>
      <c r="DVO188" s="2242"/>
      <c r="DVP188" s="1360"/>
      <c r="DVQ188" s="955"/>
      <c r="DVR188" s="1361"/>
      <c r="DVS188" s="1360"/>
      <c r="DVT188" s="1925"/>
      <c r="DVU188" s="955"/>
      <c r="DVV188" s="963"/>
      <c r="DVW188" s="2242"/>
      <c r="DVX188" s="1360"/>
      <c r="DVY188" s="955"/>
      <c r="DVZ188" s="1361"/>
      <c r="DWA188" s="1360"/>
      <c r="DWB188" s="1925"/>
      <c r="DWC188" s="955"/>
      <c r="DWD188" s="963"/>
      <c r="DWE188" s="2242"/>
      <c r="DWF188" s="1360"/>
      <c r="DWG188" s="955"/>
      <c r="DWH188" s="1361"/>
      <c r="DWI188" s="1360"/>
      <c r="DWJ188" s="1925"/>
      <c r="DWK188" s="955"/>
      <c r="DWL188" s="963"/>
      <c r="DWM188" s="2242"/>
      <c r="DWN188" s="1360"/>
      <c r="DWO188" s="955"/>
      <c r="DWP188" s="1361"/>
      <c r="DWQ188" s="1360"/>
      <c r="DWR188" s="1925"/>
      <c r="DWS188" s="955"/>
      <c r="DWT188" s="963"/>
      <c r="DWU188" s="2242"/>
      <c r="DWV188" s="1360"/>
      <c r="DWW188" s="955"/>
      <c r="DWX188" s="1361"/>
      <c r="DWY188" s="1360"/>
      <c r="DWZ188" s="1925"/>
      <c r="DXA188" s="955"/>
      <c r="DXB188" s="963"/>
      <c r="DXC188" s="2242"/>
      <c r="DXD188" s="1360"/>
      <c r="DXE188" s="955"/>
      <c r="DXF188" s="1361"/>
      <c r="DXG188" s="1360"/>
      <c r="DXH188" s="1925"/>
      <c r="DXI188" s="955"/>
      <c r="DXJ188" s="963"/>
      <c r="DXK188" s="2242"/>
      <c r="DXL188" s="1360"/>
      <c r="DXM188" s="955"/>
      <c r="DXN188" s="1361"/>
      <c r="DXO188" s="1360"/>
      <c r="DXP188" s="1925"/>
      <c r="DXQ188" s="955"/>
      <c r="DXR188" s="963"/>
      <c r="DXS188" s="2242"/>
      <c r="DXT188" s="1360"/>
      <c r="DXU188" s="955"/>
      <c r="DXV188" s="1361"/>
      <c r="DXW188" s="1360"/>
      <c r="DXX188" s="1925"/>
      <c r="DXY188" s="955"/>
      <c r="DXZ188" s="963"/>
      <c r="DYA188" s="2242"/>
      <c r="DYB188" s="1360"/>
      <c r="DYC188" s="955"/>
      <c r="DYD188" s="1361"/>
      <c r="DYE188" s="1360"/>
      <c r="DYF188" s="1925"/>
      <c r="DYG188" s="955"/>
      <c r="DYH188" s="963"/>
      <c r="DYI188" s="2242"/>
      <c r="DYJ188" s="1360"/>
      <c r="DYK188" s="955"/>
      <c r="DYL188" s="1361"/>
      <c r="DYM188" s="1360"/>
      <c r="DYN188" s="1925"/>
      <c r="DYO188" s="955"/>
      <c r="DYP188" s="963"/>
      <c r="DYQ188" s="2242"/>
      <c r="DYR188" s="1360"/>
      <c r="DYS188" s="955"/>
      <c r="DYT188" s="1361"/>
      <c r="DYU188" s="1360"/>
      <c r="DYV188" s="1925"/>
      <c r="DYW188" s="955"/>
      <c r="DYX188" s="963"/>
      <c r="DYY188" s="2242"/>
      <c r="DYZ188" s="1360"/>
      <c r="DZA188" s="955"/>
      <c r="DZB188" s="1361"/>
      <c r="DZC188" s="1360"/>
      <c r="DZD188" s="1925"/>
      <c r="DZE188" s="955"/>
      <c r="DZF188" s="963"/>
      <c r="DZG188" s="2242"/>
      <c r="DZH188" s="1360"/>
      <c r="DZI188" s="955"/>
      <c r="DZJ188" s="1361"/>
      <c r="DZK188" s="1360"/>
      <c r="DZL188" s="1925"/>
      <c r="DZM188" s="955"/>
      <c r="DZN188" s="963"/>
      <c r="DZO188" s="2242"/>
      <c r="DZP188" s="1360"/>
      <c r="DZQ188" s="955"/>
      <c r="DZR188" s="1361"/>
      <c r="DZS188" s="1360"/>
      <c r="DZT188" s="1925"/>
      <c r="DZU188" s="955"/>
      <c r="DZV188" s="963"/>
      <c r="DZW188" s="2242"/>
      <c r="DZX188" s="1360"/>
      <c r="DZY188" s="955"/>
      <c r="DZZ188" s="1361"/>
      <c r="EAA188" s="1360"/>
      <c r="EAB188" s="1925"/>
      <c r="EAC188" s="955"/>
      <c r="EAD188" s="963"/>
      <c r="EAE188" s="2242"/>
      <c r="EAF188" s="1360"/>
      <c r="EAG188" s="955"/>
      <c r="EAH188" s="1361"/>
      <c r="EAI188" s="1360"/>
      <c r="EAJ188" s="1925"/>
      <c r="EAK188" s="955"/>
      <c r="EAL188" s="963"/>
      <c r="EAM188" s="2242"/>
      <c r="EAN188" s="1360"/>
      <c r="EAO188" s="955"/>
      <c r="EAP188" s="1361"/>
      <c r="EAQ188" s="1360"/>
      <c r="EAR188" s="1925"/>
      <c r="EAS188" s="955"/>
      <c r="EAT188" s="963"/>
      <c r="EAU188" s="2242"/>
      <c r="EAV188" s="1360"/>
      <c r="EAW188" s="955"/>
      <c r="EAX188" s="1361"/>
      <c r="EAY188" s="1360"/>
      <c r="EAZ188" s="1925"/>
      <c r="EBA188" s="955"/>
      <c r="EBB188" s="963"/>
      <c r="EBC188" s="2242"/>
      <c r="EBD188" s="1360"/>
      <c r="EBE188" s="955"/>
      <c r="EBF188" s="1361"/>
      <c r="EBG188" s="1360"/>
      <c r="EBH188" s="1925"/>
      <c r="EBI188" s="955"/>
      <c r="EBJ188" s="963"/>
      <c r="EBK188" s="2242"/>
      <c r="EBL188" s="1360"/>
      <c r="EBM188" s="955"/>
      <c r="EBN188" s="1361"/>
      <c r="EBO188" s="1360"/>
      <c r="EBP188" s="1925"/>
      <c r="EBQ188" s="955"/>
      <c r="EBR188" s="963"/>
      <c r="EBS188" s="2242"/>
      <c r="EBT188" s="1360"/>
      <c r="EBU188" s="955"/>
      <c r="EBV188" s="1361"/>
      <c r="EBW188" s="1360"/>
      <c r="EBX188" s="1925"/>
      <c r="EBY188" s="955"/>
      <c r="EBZ188" s="963"/>
      <c r="ECA188" s="2242"/>
      <c r="ECB188" s="1360"/>
      <c r="ECC188" s="955"/>
      <c r="ECD188" s="1361"/>
      <c r="ECE188" s="1360"/>
      <c r="ECF188" s="1925"/>
      <c r="ECG188" s="955"/>
      <c r="ECH188" s="963"/>
      <c r="ECI188" s="2242"/>
      <c r="ECJ188" s="1360"/>
      <c r="ECK188" s="955"/>
      <c r="ECL188" s="1361"/>
      <c r="ECM188" s="1360"/>
      <c r="ECN188" s="1925"/>
      <c r="ECO188" s="955"/>
      <c r="ECP188" s="963"/>
      <c r="ECQ188" s="2242"/>
      <c r="ECR188" s="1360"/>
      <c r="ECS188" s="955"/>
      <c r="ECT188" s="1361"/>
      <c r="ECU188" s="1360"/>
      <c r="ECV188" s="1925"/>
      <c r="ECW188" s="955"/>
      <c r="ECX188" s="963"/>
      <c r="ECY188" s="2242"/>
      <c r="ECZ188" s="1360"/>
      <c r="EDA188" s="955"/>
      <c r="EDB188" s="1361"/>
      <c r="EDC188" s="1360"/>
      <c r="EDD188" s="1925"/>
      <c r="EDE188" s="955"/>
      <c r="EDF188" s="963"/>
      <c r="EDG188" s="2242"/>
      <c r="EDH188" s="1360"/>
      <c r="EDI188" s="955"/>
      <c r="EDJ188" s="1361"/>
      <c r="EDK188" s="1360"/>
      <c r="EDL188" s="1925"/>
      <c r="EDM188" s="955"/>
      <c r="EDN188" s="963"/>
      <c r="EDO188" s="2242"/>
      <c r="EDP188" s="1360"/>
      <c r="EDQ188" s="955"/>
      <c r="EDR188" s="1361"/>
      <c r="EDS188" s="1360"/>
      <c r="EDT188" s="1925"/>
      <c r="EDU188" s="955"/>
      <c r="EDV188" s="963"/>
      <c r="EDW188" s="2242"/>
      <c r="EDX188" s="1360"/>
      <c r="EDY188" s="955"/>
      <c r="EDZ188" s="1361"/>
      <c r="EEA188" s="1360"/>
      <c r="EEB188" s="1925"/>
      <c r="EEC188" s="955"/>
      <c r="EED188" s="963"/>
      <c r="EEE188" s="2242"/>
      <c r="EEF188" s="1360"/>
      <c r="EEG188" s="955"/>
      <c r="EEH188" s="1361"/>
      <c r="EEI188" s="1360"/>
      <c r="EEJ188" s="1925"/>
      <c r="EEK188" s="955"/>
      <c r="EEL188" s="963"/>
      <c r="EEM188" s="2242"/>
      <c r="EEN188" s="1360"/>
      <c r="EEO188" s="955"/>
      <c r="EEP188" s="1361"/>
      <c r="EEQ188" s="1360"/>
      <c r="EER188" s="1925"/>
      <c r="EES188" s="955"/>
      <c r="EET188" s="963"/>
      <c r="EEU188" s="2242"/>
      <c r="EEV188" s="1360"/>
      <c r="EEW188" s="955"/>
      <c r="EEX188" s="1361"/>
      <c r="EEY188" s="1360"/>
      <c r="EEZ188" s="1925"/>
      <c r="EFA188" s="955"/>
      <c r="EFB188" s="963"/>
      <c r="EFC188" s="2242"/>
      <c r="EFD188" s="1360"/>
      <c r="EFE188" s="955"/>
      <c r="EFF188" s="1361"/>
      <c r="EFG188" s="1360"/>
      <c r="EFH188" s="1925"/>
      <c r="EFI188" s="955"/>
      <c r="EFJ188" s="963"/>
      <c r="EFK188" s="2242"/>
      <c r="EFL188" s="1360"/>
      <c r="EFM188" s="955"/>
      <c r="EFN188" s="1361"/>
      <c r="EFO188" s="1360"/>
      <c r="EFP188" s="1925"/>
      <c r="EFQ188" s="955"/>
      <c r="EFR188" s="963"/>
      <c r="EFS188" s="2242"/>
      <c r="EFT188" s="1360"/>
      <c r="EFU188" s="955"/>
      <c r="EFV188" s="1361"/>
      <c r="EFW188" s="1360"/>
      <c r="EFX188" s="1925"/>
      <c r="EFY188" s="955"/>
      <c r="EFZ188" s="963"/>
      <c r="EGA188" s="2242"/>
      <c r="EGB188" s="1360"/>
      <c r="EGC188" s="955"/>
      <c r="EGD188" s="1361"/>
      <c r="EGE188" s="1360"/>
      <c r="EGF188" s="1925"/>
      <c r="EGG188" s="955"/>
      <c r="EGH188" s="963"/>
      <c r="EGI188" s="2242"/>
      <c r="EGJ188" s="1360"/>
      <c r="EGK188" s="955"/>
      <c r="EGL188" s="1361"/>
      <c r="EGM188" s="1360"/>
      <c r="EGN188" s="1925"/>
      <c r="EGO188" s="955"/>
      <c r="EGP188" s="963"/>
      <c r="EGQ188" s="2242"/>
      <c r="EGR188" s="1360"/>
      <c r="EGS188" s="955"/>
      <c r="EGT188" s="1361"/>
      <c r="EGU188" s="1360"/>
      <c r="EGV188" s="1925"/>
      <c r="EGW188" s="955"/>
      <c r="EGX188" s="963"/>
      <c r="EGY188" s="2242"/>
      <c r="EGZ188" s="1360"/>
      <c r="EHA188" s="955"/>
      <c r="EHB188" s="1361"/>
      <c r="EHC188" s="1360"/>
      <c r="EHD188" s="1925"/>
      <c r="EHE188" s="955"/>
      <c r="EHF188" s="963"/>
      <c r="EHG188" s="2242"/>
      <c r="EHH188" s="1360"/>
      <c r="EHI188" s="955"/>
      <c r="EHJ188" s="1361"/>
      <c r="EHK188" s="1360"/>
      <c r="EHL188" s="1925"/>
      <c r="EHM188" s="955"/>
      <c r="EHN188" s="963"/>
      <c r="EHO188" s="2242"/>
      <c r="EHP188" s="1360"/>
      <c r="EHQ188" s="955"/>
      <c r="EHR188" s="1361"/>
      <c r="EHS188" s="1360"/>
      <c r="EHT188" s="1925"/>
      <c r="EHU188" s="955"/>
      <c r="EHV188" s="963"/>
      <c r="EHW188" s="2242"/>
      <c r="EHX188" s="1360"/>
      <c r="EHY188" s="955"/>
      <c r="EHZ188" s="1361"/>
      <c r="EIA188" s="1360"/>
      <c r="EIB188" s="1925"/>
      <c r="EIC188" s="955"/>
      <c r="EID188" s="963"/>
      <c r="EIE188" s="2242"/>
      <c r="EIF188" s="1360"/>
      <c r="EIG188" s="955"/>
      <c r="EIH188" s="1361"/>
      <c r="EII188" s="1360"/>
      <c r="EIJ188" s="1925"/>
      <c r="EIK188" s="955"/>
      <c r="EIL188" s="963"/>
      <c r="EIM188" s="2242"/>
      <c r="EIN188" s="1360"/>
      <c r="EIO188" s="955"/>
      <c r="EIP188" s="1361"/>
      <c r="EIQ188" s="1360"/>
      <c r="EIR188" s="1925"/>
      <c r="EIS188" s="955"/>
      <c r="EIT188" s="963"/>
      <c r="EIU188" s="2242"/>
      <c r="EIV188" s="1360"/>
      <c r="EIW188" s="955"/>
      <c r="EIX188" s="1361"/>
      <c r="EIY188" s="1360"/>
      <c r="EIZ188" s="1925"/>
      <c r="EJA188" s="955"/>
      <c r="EJB188" s="963"/>
      <c r="EJC188" s="2242"/>
      <c r="EJD188" s="1360"/>
      <c r="EJE188" s="955"/>
      <c r="EJF188" s="1361"/>
      <c r="EJG188" s="1360"/>
      <c r="EJH188" s="1925"/>
      <c r="EJI188" s="955"/>
      <c r="EJJ188" s="963"/>
      <c r="EJK188" s="2242"/>
      <c r="EJL188" s="1360"/>
      <c r="EJM188" s="955"/>
      <c r="EJN188" s="1361"/>
      <c r="EJO188" s="1360"/>
      <c r="EJP188" s="1925"/>
      <c r="EJQ188" s="955"/>
      <c r="EJR188" s="963"/>
      <c r="EJS188" s="2242"/>
      <c r="EJT188" s="1360"/>
      <c r="EJU188" s="955"/>
      <c r="EJV188" s="1361"/>
      <c r="EJW188" s="1360"/>
      <c r="EJX188" s="1925"/>
      <c r="EJY188" s="955"/>
      <c r="EJZ188" s="963"/>
      <c r="EKA188" s="2242"/>
      <c r="EKB188" s="1360"/>
      <c r="EKC188" s="955"/>
      <c r="EKD188" s="1361"/>
      <c r="EKE188" s="1360"/>
      <c r="EKF188" s="1925"/>
      <c r="EKG188" s="955"/>
      <c r="EKH188" s="963"/>
      <c r="EKI188" s="2242"/>
      <c r="EKJ188" s="1360"/>
      <c r="EKK188" s="955"/>
      <c r="EKL188" s="1361"/>
      <c r="EKM188" s="1360"/>
      <c r="EKN188" s="1925"/>
      <c r="EKO188" s="955"/>
      <c r="EKP188" s="963"/>
      <c r="EKQ188" s="2242"/>
      <c r="EKR188" s="1360"/>
      <c r="EKS188" s="955"/>
      <c r="EKT188" s="1361"/>
      <c r="EKU188" s="1360"/>
      <c r="EKV188" s="1925"/>
      <c r="EKW188" s="955"/>
      <c r="EKX188" s="963"/>
      <c r="EKY188" s="2242"/>
      <c r="EKZ188" s="1360"/>
      <c r="ELA188" s="955"/>
      <c r="ELB188" s="1361"/>
      <c r="ELC188" s="1360"/>
      <c r="ELD188" s="1925"/>
      <c r="ELE188" s="955"/>
      <c r="ELF188" s="963"/>
      <c r="ELG188" s="2242"/>
      <c r="ELH188" s="1360"/>
      <c r="ELI188" s="955"/>
      <c r="ELJ188" s="1361"/>
      <c r="ELK188" s="1360"/>
      <c r="ELL188" s="1925"/>
      <c r="ELM188" s="955"/>
      <c r="ELN188" s="963"/>
      <c r="ELO188" s="2242"/>
      <c r="ELP188" s="1360"/>
      <c r="ELQ188" s="955"/>
      <c r="ELR188" s="1361"/>
      <c r="ELS188" s="1360"/>
      <c r="ELT188" s="1925"/>
      <c r="ELU188" s="955"/>
      <c r="ELV188" s="963"/>
      <c r="ELW188" s="2242"/>
      <c r="ELX188" s="1360"/>
      <c r="ELY188" s="955"/>
      <c r="ELZ188" s="1361"/>
      <c r="EMA188" s="1360"/>
      <c r="EMB188" s="1925"/>
      <c r="EMC188" s="955"/>
      <c r="EMD188" s="963"/>
      <c r="EME188" s="2242"/>
      <c r="EMF188" s="1360"/>
      <c r="EMG188" s="955"/>
      <c r="EMH188" s="1361"/>
      <c r="EMI188" s="1360"/>
      <c r="EMJ188" s="1925"/>
      <c r="EMK188" s="955"/>
      <c r="EML188" s="963"/>
      <c r="EMM188" s="2242"/>
      <c r="EMN188" s="1360"/>
      <c r="EMO188" s="955"/>
      <c r="EMP188" s="1361"/>
      <c r="EMQ188" s="1360"/>
      <c r="EMR188" s="1925"/>
      <c r="EMS188" s="955"/>
      <c r="EMT188" s="963"/>
      <c r="EMU188" s="2242"/>
      <c r="EMV188" s="1360"/>
      <c r="EMW188" s="955"/>
      <c r="EMX188" s="1361"/>
      <c r="EMY188" s="1360"/>
      <c r="EMZ188" s="1925"/>
      <c r="ENA188" s="955"/>
      <c r="ENB188" s="963"/>
      <c r="ENC188" s="2242"/>
      <c r="END188" s="1360"/>
      <c r="ENE188" s="955"/>
      <c r="ENF188" s="1361"/>
      <c r="ENG188" s="1360"/>
      <c r="ENH188" s="1925"/>
      <c r="ENI188" s="955"/>
      <c r="ENJ188" s="963"/>
      <c r="ENK188" s="2242"/>
      <c r="ENL188" s="1360"/>
      <c r="ENM188" s="955"/>
      <c r="ENN188" s="1361"/>
      <c r="ENO188" s="1360"/>
      <c r="ENP188" s="1925"/>
      <c r="ENQ188" s="955"/>
      <c r="ENR188" s="963"/>
      <c r="ENS188" s="2242"/>
      <c r="ENT188" s="1360"/>
      <c r="ENU188" s="955"/>
      <c r="ENV188" s="1361"/>
      <c r="ENW188" s="1360"/>
      <c r="ENX188" s="1925"/>
      <c r="ENY188" s="955"/>
      <c r="ENZ188" s="963"/>
      <c r="EOA188" s="2242"/>
      <c r="EOB188" s="1360"/>
      <c r="EOC188" s="955"/>
      <c r="EOD188" s="1361"/>
      <c r="EOE188" s="1360"/>
      <c r="EOF188" s="1925"/>
      <c r="EOG188" s="955"/>
      <c r="EOH188" s="963"/>
      <c r="EOI188" s="2242"/>
      <c r="EOJ188" s="1360"/>
      <c r="EOK188" s="955"/>
      <c r="EOL188" s="1361"/>
      <c r="EOM188" s="1360"/>
      <c r="EON188" s="1925"/>
      <c r="EOO188" s="955"/>
      <c r="EOP188" s="963"/>
      <c r="EOQ188" s="2242"/>
      <c r="EOR188" s="1360"/>
      <c r="EOS188" s="955"/>
      <c r="EOT188" s="1361"/>
      <c r="EOU188" s="1360"/>
      <c r="EOV188" s="1925"/>
      <c r="EOW188" s="955"/>
      <c r="EOX188" s="963"/>
      <c r="EOY188" s="2242"/>
      <c r="EOZ188" s="1360"/>
      <c r="EPA188" s="955"/>
      <c r="EPB188" s="1361"/>
      <c r="EPC188" s="1360"/>
      <c r="EPD188" s="1925"/>
      <c r="EPE188" s="955"/>
      <c r="EPF188" s="963"/>
      <c r="EPG188" s="2242"/>
      <c r="EPH188" s="1360"/>
      <c r="EPI188" s="955"/>
      <c r="EPJ188" s="1361"/>
      <c r="EPK188" s="1360"/>
      <c r="EPL188" s="1925"/>
      <c r="EPM188" s="955"/>
      <c r="EPN188" s="963"/>
      <c r="EPO188" s="2242"/>
      <c r="EPP188" s="1360"/>
      <c r="EPQ188" s="955"/>
      <c r="EPR188" s="1361"/>
      <c r="EPS188" s="1360"/>
      <c r="EPT188" s="1925"/>
      <c r="EPU188" s="955"/>
      <c r="EPV188" s="963"/>
      <c r="EPW188" s="2242"/>
      <c r="EPX188" s="1360"/>
      <c r="EPY188" s="955"/>
      <c r="EPZ188" s="1361"/>
      <c r="EQA188" s="1360"/>
      <c r="EQB188" s="1925"/>
      <c r="EQC188" s="955"/>
      <c r="EQD188" s="963"/>
      <c r="EQE188" s="2242"/>
      <c r="EQF188" s="1360"/>
      <c r="EQG188" s="955"/>
      <c r="EQH188" s="1361"/>
      <c r="EQI188" s="1360"/>
      <c r="EQJ188" s="1925"/>
      <c r="EQK188" s="955"/>
      <c r="EQL188" s="963"/>
      <c r="EQM188" s="2242"/>
      <c r="EQN188" s="1360"/>
      <c r="EQO188" s="955"/>
      <c r="EQP188" s="1361"/>
      <c r="EQQ188" s="1360"/>
      <c r="EQR188" s="1925"/>
      <c r="EQS188" s="955"/>
      <c r="EQT188" s="963"/>
      <c r="EQU188" s="2242"/>
      <c r="EQV188" s="1360"/>
      <c r="EQW188" s="955"/>
      <c r="EQX188" s="1361"/>
      <c r="EQY188" s="1360"/>
      <c r="EQZ188" s="1925"/>
      <c r="ERA188" s="955"/>
      <c r="ERB188" s="963"/>
      <c r="ERC188" s="2242"/>
      <c r="ERD188" s="1360"/>
      <c r="ERE188" s="955"/>
      <c r="ERF188" s="1361"/>
      <c r="ERG188" s="1360"/>
      <c r="ERH188" s="1925"/>
      <c r="ERI188" s="955"/>
      <c r="ERJ188" s="963"/>
      <c r="ERK188" s="2242"/>
      <c r="ERL188" s="1360"/>
      <c r="ERM188" s="955"/>
      <c r="ERN188" s="1361"/>
      <c r="ERO188" s="1360"/>
      <c r="ERP188" s="1925"/>
      <c r="ERQ188" s="955"/>
      <c r="ERR188" s="963"/>
      <c r="ERS188" s="2242"/>
      <c r="ERT188" s="1360"/>
      <c r="ERU188" s="955"/>
      <c r="ERV188" s="1361"/>
      <c r="ERW188" s="1360"/>
      <c r="ERX188" s="1925"/>
      <c r="ERY188" s="955"/>
      <c r="ERZ188" s="963"/>
      <c r="ESA188" s="2242"/>
      <c r="ESB188" s="1360"/>
      <c r="ESC188" s="955"/>
      <c r="ESD188" s="1361"/>
      <c r="ESE188" s="1360"/>
      <c r="ESF188" s="1925"/>
      <c r="ESG188" s="955"/>
      <c r="ESH188" s="963"/>
      <c r="ESI188" s="2242"/>
      <c r="ESJ188" s="1360"/>
      <c r="ESK188" s="955"/>
      <c r="ESL188" s="1361"/>
      <c r="ESM188" s="1360"/>
      <c r="ESN188" s="1925"/>
      <c r="ESO188" s="955"/>
      <c r="ESP188" s="963"/>
      <c r="ESQ188" s="2242"/>
      <c r="ESR188" s="1360"/>
      <c r="ESS188" s="955"/>
      <c r="EST188" s="1361"/>
      <c r="ESU188" s="1360"/>
      <c r="ESV188" s="1925"/>
      <c r="ESW188" s="955"/>
      <c r="ESX188" s="963"/>
      <c r="ESY188" s="2242"/>
      <c r="ESZ188" s="1360"/>
      <c r="ETA188" s="955"/>
      <c r="ETB188" s="1361"/>
      <c r="ETC188" s="1360"/>
      <c r="ETD188" s="1925"/>
      <c r="ETE188" s="955"/>
      <c r="ETF188" s="963"/>
      <c r="ETG188" s="2242"/>
      <c r="ETH188" s="1360"/>
      <c r="ETI188" s="955"/>
      <c r="ETJ188" s="1361"/>
      <c r="ETK188" s="1360"/>
      <c r="ETL188" s="1925"/>
      <c r="ETM188" s="955"/>
      <c r="ETN188" s="963"/>
      <c r="ETO188" s="2242"/>
      <c r="ETP188" s="1360"/>
      <c r="ETQ188" s="955"/>
      <c r="ETR188" s="1361"/>
      <c r="ETS188" s="1360"/>
      <c r="ETT188" s="1925"/>
      <c r="ETU188" s="955"/>
      <c r="ETV188" s="963"/>
      <c r="ETW188" s="2242"/>
      <c r="ETX188" s="1360"/>
      <c r="ETY188" s="955"/>
      <c r="ETZ188" s="1361"/>
      <c r="EUA188" s="1360"/>
      <c r="EUB188" s="1925"/>
      <c r="EUC188" s="955"/>
      <c r="EUD188" s="963"/>
      <c r="EUE188" s="2242"/>
      <c r="EUF188" s="1360"/>
      <c r="EUG188" s="955"/>
      <c r="EUH188" s="1361"/>
      <c r="EUI188" s="1360"/>
      <c r="EUJ188" s="1925"/>
      <c r="EUK188" s="955"/>
      <c r="EUL188" s="963"/>
      <c r="EUM188" s="2242"/>
      <c r="EUN188" s="1360"/>
      <c r="EUO188" s="955"/>
      <c r="EUP188" s="1361"/>
      <c r="EUQ188" s="1360"/>
      <c r="EUR188" s="1925"/>
      <c r="EUS188" s="955"/>
      <c r="EUT188" s="963"/>
      <c r="EUU188" s="2242"/>
      <c r="EUV188" s="1360"/>
      <c r="EUW188" s="955"/>
      <c r="EUX188" s="1361"/>
      <c r="EUY188" s="1360"/>
      <c r="EUZ188" s="1925"/>
      <c r="EVA188" s="955"/>
      <c r="EVB188" s="963"/>
      <c r="EVC188" s="2242"/>
      <c r="EVD188" s="1360"/>
      <c r="EVE188" s="955"/>
      <c r="EVF188" s="1361"/>
      <c r="EVG188" s="1360"/>
      <c r="EVH188" s="1925"/>
      <c r="EVI188" s="955"/>
      <c r="EVJ188" s="963"/>
      <c r="EVK188" s="2242"/>
      <c r="EVL188" s="1360"/>
      <c r="EVM188" s="955"/>
      <c r="EVN188" s="1361"/>
      <c r="EVO188" s="1360"/>
      <c r="EVP188" s="1925"/>
      <c r="EVQ188" s="955"/>
      <c r="EVR188" s="963"/>
      <c r="EVS188" s="2242"/>
      <c r="EVT188" s="1360"/>
      <c r="EVU188" s="955"/>
      <c r="EVV188" s="1361"/>
      <c r="EVW188" s="1360"/>
      <c r="EVX188" s="1925"/>
      <c r="EVY188" s="955"/>
      <c r="EVZ188" s="963"/>
      <c r="EWA188" s="2242"/>
      <c r="EWB188" s="1360"/>
      <c r="EWC188" s="955"/>
      <c r="EWD188" s="1361"/>
      <c r="EWE188" s="1360"/>
      <c r="EWF188" s="1925"/>
      <c r="EWG188" s="955"/>
      <c r="EWH188" s="963"/>
      <c r="EWI188" s="2242"/>
      <c r="EWJ188" s="1360"/>
      <c r="EWK188" s="955"/>
      <c r="EWL188" s="1361"/>
      <c r="EWM188" s="1360"/>
      <c r="EWN188" s="1925"/>
      <c r="EWO188" s="955"/>
      <c r="EWP188" s="963"/>
      <c r="EWQ188" s="2242"/>
      <c r="EWR188" s="1360"/>
      <c r="EWS188" s="955"/>
      <c r="EWT188" s="1361"/>
      <c r="EWU188" s="1360"/>
      <c r="EWV188" s="1925"/>
      <c r="EWW188" s="955"/>
      <c r="EWX188" s="963"/>
      <c r="EWY188" s="2242"/>
      <c r="EWZ188" s="1360"/>
      <c r="EXA188" s="955"/>
      <c r="EXB188" s="1361"/>
      <c r="EXC188" s="1360"/>
      <c r="EXD188" s="1925"/>
      <c r="EXE188" s="955"/>
      <c r="EXF188" s="963"/>
      <c r="EXG188" s="2242"/>
      <c r="EXH188" s="1360"/>
      <c r="EXI188" s="955"/>
      <c r="EXJ188" s="1361"/>
      <c r="EXK188" s="1360"/>
      <c r="EXL188" s="1925"/>
      <c r="EXM188" s="955"/>
      <c r="EXN188" s="963"/>
      <c r="EXO188" s="2242"/>
      <c r="EXP188" s="1360"/>
      <c r="EXQ188" s="955"/>
      <c r="EXR188" s="1361"/>
      <c r="EXS188" s="1360"/>
      <c r="EXT188" s="1925"/>
      <c r="EXU188" s="955"/>
      <c r="EXV188" s="963"/>
      <c r="EXW188" s="2242"/>
      <c r="EXX188" s="1360"/>
      <c r="EXY188" s="955"/>
      <c r="EXZ188" s="1361"/>
      <c r="EYA188" s="1360"/>
      <c r="EYB188" s="1925"/>
      <c r="EYC188" s="955"/>
      <c r="EYD188" s="963"/>
      <c r="EYE188" s="2242"/>
      <c r="EYF188" s="1360"/>
      <c r="EYG188" s="955"/>
      <c r="EYH188" s="1361"/>
      <c r="EYI188" s="1360"/>
      <c r="EYJ188" s="1925"/>
      <c r="EYK188" s="955"/>
      <c r="EYL188" s="963"/>
      <c r="EYM188" s="2242"/>
      <c r="EYN188" s="1360"/>
      <c r="EYO188" s="955"/>
      <c r="EYP188" s="1361"/>
      <c r="EYQ188" s="1360"/>
      <c r="EYR188" s="1925"/>
      <c r="EYS188" s="955"/>
      <c r="EYT188" s="963"/>
      <c r="EYU188" s="2242"/>
      <c r="EYV188" s="1360"/>
      <c r="EYW188" s="955"/>
      <c r="EYX188" s="1361"/>
      <c r="EYY188" s="1360"/>
      <c r="EYZ188" s="1925"/>
      <c r="EZA188" s="955"/>
      <c r="EZB188" s="963"/>
      <c r="EZC188" s="2242"/>
      <c r="EZD188" s="1360"/>
      <c r="EZE188" s="955"/>
      <c r="EZF188" s="1361"/>
      <c r="EZG188" s="1360"/>
      <c r="EZH188" s="1925"/>
      <c r="EZI188" s="955"/>
      <c r="EZJ188" s="963"/>
      <c r="EZK188" s="2242"/>
      <c r="EZL188" s="1360"/>
      <c r="EZM188" s="955"/>
      <c r="EZN188" s="1361"/>
      <c r="EZO188" s="1360"/>
      <c r="EZP188" s="1925"/>
      <c r="EZQ188" s="955"/>
      <c r="EZR188" s="963"/>
      <c r="EZS188" s="2242"/>
      <c r="EZT188" s="1360"/>
      <c r="EZU188" s="955"/>
      <c r="EZV188" s="1361"/>
      <c r="EZW188" s="1360"/>
      <c r="EZX188" s="1925"/>
      <c r="EZY188" s="955"/>
      <c r="EZZ188" s="963"/>
      <c r="FAA188" s="2242"/>
      <c r="FAB188" s="1360"/>
      <c r="FAC188" s="955"/>
      <c r="FAD188" s="1361"/>
      <c r="FAE188" s="1360"/>
      <c r="FAF188" s="1925"/>
      <c r="FAG188" s="955"/>
      <c r="FAH188" s="963"/>
      <c r="FAI188" s="2242"/>
      <c r="FAJ188" s="1360"/>
      <c r="FAK188" s="955"/>
      <c r="FAL188" s="1361"/>
      <c r="FAM188" s="1360"/>
      <c r="FAN188" s="1925"/>
      <c r="FAO188" s="955"/>
      <c r="FAP188" s="963"/>
      <c r="FAQ188" s="2242"/>
      <c r="FAR188" s="1360"/>
      <c r="FAS188" s="955"/>
      <c r="FAT188" s="1361"/>
      <c r="FAU188" s="1360"/>
      <c r="FAV188" s="1925"/>
      <c r="FAW188" s="955"/>
      <c r="FAX188" s="963"/>
      <c r="FAY188" s="2242"/>
      <c r="FAZ188" s="1360"/>
      <c r="FBA188" s="955"/>
      <c r="FBB188" s="1361"/>
      <c r="FBC188" s="1360"/>
      <c r="FBD188" s="1925"/>
      <c r="FBE188" s="955"/>
      <c r="FBF188" s="963"/>
      <c r="FBG188" s="2242"/>
      <c r="FBH188" s="1360"/>
      <c r="FBI188" s="955"/>
      <c r="FBJ188" s="1361"/>
      <c r="FBK188" s="1360"/>
      <c r="FBL188" s="1925"/>
      <c r="FBM188" s="955"/>
      <c r="FBN188" s="963"/>
      <c r="FBO188" s="2242"/>
      <c r="FBP188" s="1360"/>
      <c r="FBQ188" s="955"/>
      <c r="FBR188" s="1361"/>
      <c r="FBS188" s="1360"/>
      <c r="FBT188" s="1925"/>
      <c r="FBU188" s="955"/>
      <c r="FBV188" s="963"/>
      <c r="FBW188" s="2242"/>
      <c r="FBX188" s="1360"/>
      <c r="FBY188" s="955"/>
      <c r="FBZ188" s="1361"/>
      <c r="FCA188" s="1360"/>
      <c r="FCB188" s="1925"/>
      <c r="FCC188" s="955"/>
      <c r="FCD188" s="963"/>
      <c r="FCE188" s="2242"/>
      <c r="FCF188" s="1360"/>
      <c r="FCG188" s="955"/>
      <c r="FCH188" s="1361"/>
      <c r="FCI188" s="1360"/>
      <c r="FCJ188" s="1925"/>
      <c r="FCK188" s="955"/>
      <c r="FCL188" s="963"/>
      <c r="FCM188" s="2242"/>
      <c r="FCN188" s="1360"/>
      <c r="FCO188" s="955"/>
      <c r="FCP188" s="1361"/>
      <c r="FCQ188" s="1360"/>
      <c r="FCR188" s="1925"/>
      <c r="FCS188" s="955"/>
      <c r="FCT188" s="963"/>
      <c r="FCU188" s="2242"/>
      <c r="FCV188" s="1360"/>
      <c r="FCW188" s="955"/>
      <c r="FCX188" s="1361"/>
      <c r="FCY188" s="1360"/>
      <c r="FCZ188" s="1925"/>
      <c r="FDA188" s="955"/>
      <c r="FDB188" s="963"/>
      <c r="FDC188" s="2242"/>
      <c r="FDD188" s="1360"/>
      <c r="FDE188" s="955"/>
      <c r="FDF188" s="1361"/>
      <c r="FDG188" s="1360"/>
      <c r="FDH188" s="1925"/>
      <c r="FDI188" s="955"/>
      <c r="FDJ188" s="963"/>
      <c r="FDK188" s="2242"/>
      <c r="FDL188" s="1360"/>
      <c r="FDM188" s="955"/>
      <c r="FDN188" s="1361"/>
      <c r="FDO188" s="1360"/>
      <c r="FDP188" s="1925"/>
      <c r="FDQ188" s="955"/>
      <c r="FDR188" s="963"/>
      <c r="FDS188" s="2242"/>
      <c r="FDT188" s="1360"/>
      <c r="FDU188" s="955"/>
      <c r="FDV188" s="1361"/>
      <c r="FDW188" s="1360"/>
      <c r="FDX188" s="1925"/>
      <c r="FDY188" s="955"/>
      <c r="FDZ188" s="963"/>
      <c r="FEA188" s="2242"/>
      <c r="FEB188" s="1360"/>
      <c r="FEC188" s="955"/>
      <c r="FED188" s="1361"/>
      <c r="FEE188" s="1360"/>
      <c r="FEF188" s="1925"/>
      <c r="FEG188" s="955"/>
      <c r="FEH188" s="963"/>
      <c r="FEI188" s="2242"/>
      <c r="FEJ188" s="1360"/>
      <c r="FEK188" s="955"/>
      <c r="FEL188" s="1361"/>
      <c r="FEM188" s="1360"/>
      <c r="FEN188" s="1925"/>
      <c r="FEO188" s="955"/>
      <c r="FEP188" s="963"/>
      <c r="FEQ188" s="2242"/>
      <c r="FER188" s="1360"/>
      <c r="FES188" s="955"/>
      <c r="FET188" s="1361"/>
      <c r="FEU188" s="1360"/>
      <c r="FEV188" s="1925"/>
      <c r="FEW188" s="955"/>
      <c r="FEX188" s="963"/>
      <c r="FEY188" s="2242"/>
      <c r="FEZ188" s="1360"/>
      <c r="FFA188" s="955"/>
      <c r="FFB188" s="1361"/>
      <c r="FFC188" s="1360"/>
      <c r="FFD188" s="1925"/>
      <c r="FFE188" s="955"/>
      <c r="FFF188" s="963"/>
      <c r="FFG188" s="2242"/>
      <c r="FFH188" s="1360"/>
      <c r="FFI188" s="955"/>
      <c r="FFJ188" s="1361"/>
      <c r="FFK188" s="1360"/>
      <c r="FFL188" s="1925"/>
      <c r="FFM188" s="955"/>
      <c r="FFN188" s="963"/>
      <c r="FFO188" s="2242"/>
      <c r="FFP188" s="1360"/>
      <c r="FFQ188" s="955"/>
      <c r="FFR188" s="1361"/>
      <c r="FFS188" s="1360"/>
      <c r="FFT188" s="1925"/>
      <c r="FFU188" s="955"/>
      <c r="FFV188" s="963"/>
      <c r="FFW188" s="2242"/>
      <c r="FFX188" s="1360"/>
      <c r="FFY188" s="955"/>
      <c r="FFZ188" s="1361"/>
      <c r="FGA188" s="1360"/>
      <c r="FGB188" s="1925"/>
      <c r="FGC188" s="955"/>
      <c r="FGD188" s="963"/>
      <c r="FGE188" s="2242"/>
      <c r="FGF188" s="1360"/>
      <c r="FGG188" s="955"/>
      <c r="FGH188" s="1361"/>
      <c r="FGI188" s="1360"/>
      <c r="FGJ188" s="1925"/>
      <c r="FGK188" s="955"/>
      <c r="FGL188" s="963"/>
      <c r="FGM188" s="2242"/>
      <c r="FGN188" s="1360"/>
      <c r="FGO188" s="955"/>
      <c r="FGP188" s="1361"/>
      <c r="FGQ188" s="1360"/>
      <c r="FGR188" s="1925"/>
      <c r="FGS188" s="955"/>
      <c r="FGT188" s="963"/>
      <c r="FGU188" s="2242"/>
      <c r="FGV188" s="1360"/>
      <c r="FGW188" s="955"/>
      <c r="FGX188" s="1361"/>
      <c r="FGY188" s="1360"/>
      <c r="FGZ188" s="1925"/>
      <c r="FHA188" s="955"/>
      <c r="FHB188" s="963"/>
      <c r="FHC188" s="2242"/>
      <c r="FHD188" s="1360"/>
      <c r="FHE188" s="955"/>
      <c r="FHF188" s="1361"/>
      <c r="FHG188" s="1360"/>
      <c r="FHH188" s="1925"/>
      <c r="FHI188" s="955"/>
      <c r="FHJ188" s="963"/>
      <c r="FHK188" s="2242"/>
      <c r="FHL188" s="1360"/>
      <c r="FHM188" s="955"/>
      <c r="FHN188" s="1361"/>
      <c r="FHO188" s="1360"/>
      <c r="FHP188" s="1925"/>
      <c r="FHQ188" s="955"/>
      <c r="FHR188" s="963"/>
      <c r="FHS188" s="2242"/>
      <c r="FHT188" s="1360"/>
      <c r="FHU188" s="955"/>
      <c r="FHV188" s="1361"/>
      <c r="FHW188" s="1360"/>
      <c r="FHX188" s="1925"/>
      <c r="FHY188" s="955"/>
      <c r="FHZ188" s="963"/>
      <c r="FIA188" s="2242"/>
      <c r="FIB188" s="1360"/>
      <c r="FIC188" s="955"/>
      <c r="FID188" s="1361"/>
      <c r="FIE188" s="1360"/>
      <c r="FIF188" s="1925"/>
      <c r="FIG188" s="955"/>
      <c r="FIH188" s="963"/>
      <c r="FII188" s="2242"/>
      <c r="FIJ188" s="1360"/>
      <c r="FIK188" s="955"/>
      <c r="FIL188" s="1361"/>
      <c r="FIM188" s="1360"/>
      <c r="FIN188" s="1925"/>
      <c r="FIO188" s="955"/>
      <c r="FIP188" s="963"/>
      <c r="FIQ188" s="2242"/>
      <c r="FIR188" s="1360"/>
      <c r="FIS188" s="955"/>
      <c r="FIT188" s="1361"/>
      <c r="FIU188" s="1360"/>
      <c r="FIV188" s="1925"/>
      <c r="FIW188" s="955"/>
      <c r="FIX188" s="963"/>
      <c r="FIY188" s="2242"/>
      <c r="FIZ188" s="1360"/>
      <c r="FJA188" s="955"/>
      <c r="FJB188" s="1361"/>
      <c r="FJC188" s="1360"/>
      <c r="FJD188" s="1925"/>
      <c r="FJE188" s="955"/>
      <c r="FJF188" s="963"/>
      <c r="FJG188" s="2242"/>
      <c r="FJH188" s="1360"/>
      <c r="FJI188" s="955"/>
      <c r="FJJ188" s="1361"/>
      <c r="FJK188" s="1360"/>
      <c r="FJL188" s="1925"/>
      <c r="FJM188" s="955"/>
      <c r="FJN188" s="963"/>
      <c r="FJO188" s="2242"/>
      <c r="FJP188" s="1360"/>
      <c r="FJQ188" s="955"/>
      <c r="FJR188" s="1361"/>
      <c r="FJS188" s="1360"/>
      <c r="FJT188" s="1925"/>
      <c r="FJU188" s="955"/>
      <c r="FJV188" s="963"/>
      <c r="FJW188" s="2242"/>
      <c r="FJX188" s="1360"/>
      <c r="FJY188" s="955"/>
      <c r="FJZ188" s="1361"/>
      <c r="FKA188" s="1360"/>
      <c r="FKB188" s="1925"/>
      <c r="FKC188" s="955"/>
      <c r="FKD188" s="963"/>
      <c r="FKE188" s="2242"/>
      <c r="FKF188" s="1360"/>
      <c r="FKG188" s="955"/>
      <c r="FKH188" s="1361"/>
      <c r="FKI188" s="1360"/>
      <c r="FKJ188" s="1925"/>
      <c r="FKK188" s="955"/>
      <c r="FKL188" s="963"/>
      <c r="FKM188" s="2242"/>
      <c r="FKN188" s="1360"/>
      <c r="FKO188" s="955"/>
      <c r="FKP188" s="1361"/>
      <c r="FKQ188" s="1360"/>
      <c r="FKR188" s="1925"/>
      <c r="FKS188" s="955"/>
      <c r="FKT188" s="963"/>
      <c r="FKU188" s="2242"/>
      <c r="FKV188" s="1360"/>
      <c r="FKW188" s="955"/>
      <c r="FKX188" s="1361"/>
      <c r="FKY188" s="1360"/>
      <c r="FKZ188" s="1925"/>
      <c r="FLA188" s="955"/>
      <c r="FLB188" s="963"/>
      <c r="FLC188" s="2242"/>
      <c r="FLD188" s="1360"/>
      <c r="FLE188" s="955"/>
      <c r="FLF188" s="1361"/>
      <c r="FLG188" s="1360"/>
      <c r="FLH188" s="1925"/>
      <c r="FLI188" s="955"/>
      <c r="FLJ188" s="963"/>
      <c r="FLK188" s="2242"/>
      <c r="FLL188" s="1360"/>
      <c r="FLM188" s="955"/>
      <c r="FLN188" s="1361"/>
      <c r="FLO188" s="1360"/>
      <c r="FLP188" s="1925"/>
      <c r="FLQ188" s="955"/>
      <c r="FLR188" s="963"/>
      <c r="FLS188" s="2242"/>
      <c r="FLT188" s="1360"/>
      <c r="FLU188" s="955"/>
      <c r="FLV188" s="1361"/>
      <c r="FLW188" s="1360"/>
      <c r="FLX188" s="1925"/>
      <c r="FLY188" s="955"/>
      <c r="FLZ188" s="963"/>
      <c r="FMA188" s="2242"/>
      <c r="FMB188" s="1360"/>
      <c r="FMC188" s="955"/>
      <c r="FMD188" s="1361"/>
      <c r="FME188" s="1360"/>
      <c r="FMF188" s="1925"/>
      <c r="FMG188" s="955"/>
      <c r="FMH188" s="963"/>
      <c r="FMI188" s="2242"/>
      <c r="FMJ188" s="1360"/>
      <c r="FMK188" s="955"/>
      <c r="FML188" s="1361"/>
      <c r="FMM188" s="1360"/>
      <c r="FMN188" s="1925"/>
      <c r="FMO188" s="955"/>
      <c r="FMP188" s="963"/>
      <c r="FMQ188" s="2242"/>
      <c r="FMR188" s="1360"/>
      <c r="FMS188" s="955"/>
      <c r="FMT188" s="1361"/>
      <c r="FMU188" s="1360"/>
      <c r="FMV188" s="1925"/>
      <c r="FMW188" s="955"/>
      <c r="FMX188" s="963"/>
      <c r="FMY188" s="2242"/>
      <c r="FMZ188" s="1360"/>
      <c r="FNA188" s="955"/>
      <c r="FNB188" s="1361"/>
      <c r="FNC188" s="1360"/>
      <c r="FND188" s="1925"/>
      <c r="FNE188" s="955"/>
      <c r="FNF188" s="963"/>
      <c r="FNG188" s="2242"/>
      <c r="FNH188" s="1360"/>
      <c r="FNI188" s="955"/>
      <c r="FNJ188" s="1361"/>
      <c r="FNK188" s="1360"/>
      <c r="FNL188" s="1925"/>
      <c r="FNM188" s="955"/>
      <c r="FNN188" s="963"/>
      <c r="FNO188" s="2242"/>
      <c r="FNP188" s="1360"/>
      <c r="FNQ188" s="955"/>
      <c r="FNR188" s="1361"/>
      <c r="FNS188" s="1360"/>
      <c r="FNT188" s="1925"/>
      <c r="FNU188" s="955"/>
      <c r="FNV188" s="963"/>
      <c r="FNW188" s="2242"/>
      <c r="FNX188" s="1360"/>
      <c r="FNY188" s="955"/>
      <c r="FNZ188" s="1361"/>
      <c r="FOA188" s="1360"/>
      <c r="FOB188" s="1925"/>
      <c r="FOC188" s="955"/>
      <c r="FOD188" s="963"/>
      <c r="FOE188" s="2242"/>
      <c r="FOF188" s="1360"/>
      <c r="FOG188" s="955"/>
      <c r="FOH188" s="1361"/>
      <c r="FOI188" s="1360"/>
      <c r="FOJ188" s="1925"/>
      <c r="FOK188" s="955"/>
      <c r="FOL188" s="963"/>
      <c r="FOM188" s="2242"/>
      <c r="FON188" s="1360"/>
      <c r="FOO188" s="955"/>
      <c r="FOP188" s="1361"/>
      <c r="FOQ188" s="1360"/>
      <c r="FOR188" s="1925"/>
      <c r="FOS188" s="955"/>
      <c r="FOT188" s="963"/>
      <c r="FOU188" s="2242"/>
      <c r="FOV188" s="1360"/>
      <c r="FOW188" s="955"/>
      <c r="FOX188" s="1361"/>
      <c r="FOY188" s="1360"/>
      <c r="FOZ188" s="1925"/>
      <c r="FPA188" s="955"/>
      <c r="FPB188" s="963"/>
      <c r="FPC188" s="2242"/>
      <c r="FPD188" s="1360"/>
      <c r="FPE188" s="955"/>
      <c r="FPF188" s="1361"/>
      <c r="FPG188" s="1360"/>
      <c r="FPH188" s="1925"/>
      <c r="FPI188" s="955"/>
      <c r="FPJ188" s="963"/>
      <c r="FPK188" s="2242"/>
      <c r="FPL188" s="1360"/>
      <c r="FPM188" s="955"/>
      <c r="FPN188" s="1361"/>
      <c r="FPO188" s="1360"/>
      <c r="FPP188" s="1925"/>
      <c r="FPQ188" s="955"/>
      <c r="FPR188" s="963"/>
      <c r="FPS188" s="2242"/>
      <c r="FPT188" s="1360"/>
      <c r="FPU188" s="955"/>
      <c r="FPV188" s="1361"/>
      <c r="FPW188" s="1360"/>
      <c r="FPX188" s="1925"/>
      <c r="FPY188" s="955"/>
      <c r="FPZ188" s="963"/>
      <c r="FQA188" s="2242"/>
      <c r="FQB188" s="1360"/>
      <c r="FQC188" s="955"/>
      <c r="FQD188" s="1361"/>
      <c r="FQE188" s="1360"/>
      <c r="FQF188" s="1925"/>
      <c r="FQG188" s="955"/>
      <c r="FQH188" s="963"/>
      <c r="FQI188" s="2242"/>
      <c r="FQJ188" s="1360"/>
      <c r="FQK188" s="955"/>
      <c r="FQL188" s="1361"/>
      <c r="FQM188" s="1360"/>
      <c r="FQN188" s="1925"/>
      <c r="FQO188" s="955"/>
      <c r="FQP188" s="963"/>
      <c r="FQQ188" s="2242"/>
      <c r="FQR188" s="1360"/>
      <c r="FQS188" s="955"/>
      <c r="FQT188" s="1361"/>
      <c r="FQU188" s="1360"/>
      <c r="FQV188" s="1925"/>
      <c r="FQW188" s="955"/>
      <c r="FQX188" s="963"/>
      <c r="FQY188" s="2242"/>
      <c r="FQZ188" s="1360"/>
      <c r="FRA188" s="955"/>
      <c r="FRB188" s="1361"/>
      <c r="FRC188" s="1360"/>
      <c r="FRD188" s="1925"/>
      <c r="FRE188" s="955"/>
      <c r="FRF188" s="963"/>
      <c r="FRG188" s="2242"/>
      <c r="FRH188" s="1360"/>
      <c r="FRI188" s="955"/>
      <c r="FRJ188" s="1361"/>
      <c r="FRK188" s="1360"/>
      <c r="FRL188" s="1925"/>
      <c r="FRM188" s="955"/>
      <c r="FRN188" s="963"/>
      <c r="FRO188" s="2242"/>
      <c r="FRP188" s="1360"/>
      <c r="FRQ188" s="955"/>
      <c r="FRR188" s="1361"/>
      <c r="FRS188" s="1360"/>
      <c r="FRT188" s="1925"/>
      <c r="FRU188" s="955"/>
      <c r="FRV188" s="963"/>
      <c r="FRW188" s="2242"/>
      <c r="FRX188" s="1360"/>
      <c r="FRY188" s="955"/>
      <c r="FRZ188" s="1361"/>
      <c r="FSA188" s="1360"/>
      <c r="FSB188" s="1925"/>
      <c r="FSC188" s="955"/>
      <c r="FSD188" s="963"/>
      <c r="FSE188" s="2242"/>
      <c r="FSF188" s="1360"/>
      <c r="FSG188" s="955"/>
      <c r="FSH188" s="1361"/>
      <c r="FSI188" s="1360"/>
      <c r="FSJ188" s="1925"/>
      <c r="FSK188" s="955"/>
      <c r="FSL188" s="963"/>
      <c r="FSM188" s="2242"/>
      <c r="FSN188" s="1360"/>
      <c r="FSO188" s="955"/>
      <c r="FSP188" s="1361"/>
      <c r="FSQ188" s="1360"/>
      <c r="FSR188" s="1925"/>
      <c r="FSS188" s="955"/>
      <c r="FST188" s="963"/>
      <c r="FSU188" s="2242"/>
      <c r="FSV188" s="1360"/>
      <c r="FSW188" s="955"/>
      <c r="FSX188" s="1361"/>
      <c r="FSY188" s="1360"/>
      <c r="FSZ188" s="1925"/>
      <c r="FTA188" s="955"/>
      <c r="FTB188" s="963"/>
      <c r="FTC188" s="2242"/>
      <c r="FTD188" s="1360"/>
      <c r="FTE188" s="955"/>
      <c r="FTF188" s="1361"/>
      <c r="FTG188" s="1360"/>
      <c r="FTH188" s="1925"/>
      <c r="FTI188" s="955"/>
      <c r="FTJ188" s="963"/>
      <c r="FTK188" s="2242"/>
      <c r="FTL188" s="1360"/>
      <c r="FTM188" s="955"/>
      <c r="FTN188" s="1361"/>
      <c r="FTO188" s="1360"/>
      <c r="FTP188" s="1925"/>
      <c r="FTQ188" s="955"/>
      <c r="FTR188" s="963"/>
      <c r="FTS188" s="2242"/>
      <c r="FTT188" s="1360"/>
      <c r="FTU188" s="955"/>
      <c r="FTV188" s="1361"/>
      <c r="FTW188" s="1360"/>
      <c r="FTX188" s="1925"/>
      <c r="FTY188" s="955"/>
      <c r="FTZ188" s="963"/>
      <c r="FUA188" s="2242"/>
      <c r="FUB188" s="1360"/>
      <c r="FUC188" s="955"/>
      <c r="FUD188" s="1361"/>
      <c r="FUE188" s="1360"/>
      <c r="FUF188" s="1925"/>
      <c r="FUG188" s="955"/>
      <c r="FUH188" s="963"/>
      <c r="FUI188" s="2242"/>
      <c r="FUJ188" s="1360"/>
      <c r="FUK188" s="955"/>
      <c r="FUL188" s="1361"/>
      <c r="FUM188" s="1360"/>
      <c r="FUN188" s="1925"/>
      <c r="FUO188" s="955"/>
      <c r="FUP188" s="963"/>
      <c r="FUQ188" s="2242"/>
      <c r="FUR188" s="1360"/>
      <c r="FUS188" s="955"/>
      <c r="FUT188" s="1361"/>
      <c r="FUU188" s="1360"/>
      <c r="FUV188" s="1925"/>
      <c r="FUW188" s="955"/>
      <c r="FUX188" s="963"/>
      <c r="FUY188" s="2242"/>
      <c r="FUZ188" s="1360"/>
      <c r="FVA188" s="955"/>
      <c r="FVB188" s="1361"/>
      <c r="FVC188" s="1360"/>
      <c r="FVD188" s="1925"/>
      <c r="FVE188" s="955"/>
      <c r="FVF188" s="963"/>
      <c r="FVG188" s="2242"/>
      <c r="FVH188" s="1360"/>
      <c r="FVI188" s="955"/>
      <c r="FVJ188" s="1361"/>
      <c r="FVK188" s="1360"/>
      <c r="FVL188" s="1925"/>
      <c r="FVM188" s="955"/>
      <c r="FVN188" s="963"/>
      <c r="FVO188" s="2242"/>
      <c r="FVP188" s="1360"/>
      <c r="FVQ188" s="955"/>
      <c r="FVR188" s="1361"/>
      <c r="FVS188" s="1360"/>
      <c r="FVT188" s="1925"/>
      <c r="FVU188" s="955"/>
      <c r="FVV188" s="963"/>
      <c r="FVW188" s="2242"/>
      <c r="FVX188" s="1360"/>
      <c r="FVY188" s="955"/>
      <c r="FVZ188" s="1361"/>
      <c r="FWA188" s="1360"/>
      <c r="FWB188" s="1925"/>
      <c r="FWC188" s="955"/>
      <c r="FWD188" s="963"/>
      <c r="FWE188" s="2242"/>
      <c r="FWF188" s="1360"/>
      <c r="FWG188" s="955"/>
      <c r="FWH188" s="1361"/>
      <c r="FWI188" s="1360"/>
      <c r="FWJ188" s="1925"/>
      <c r="FWK188" s="955"/>
      <c r="FWL188" s="963"/>
      <c r="FWM188" s="2242"/>
      <c r="FWN188" s="1360"/>
      <c r="FWO188" s="955"/>
      <c r="FWP188" s="1361"/>
      <c r="FWQ188" s="1360"/>
      <c r="FWR188" s="1925"/>
      <c r="FWS188" s="955"/>
      <c r="FWT188" s="963"/>
      <c r="FWU188" s="2242"/>
      <c r="FWV188" s="1360"/>
      <c r="FWW188" s="955"/>
      <c r="FWX188" s="1361"/>
      <c r="FWY188" s="1360"/>
      <c r="FWZ188" s="1925"/>
      <c r="FXA188" s="955"/>
      <c r="FXB188" s="963"/>
      <c r="FXC188" s="2242"/>
      <c r="FXD188" s="1360"/>
      <c r="FXE188" s="955"/>
      <c r="FXF188" s="1361"/>
      <c r="FXG188" s="1360"/>
      <c r="FXH188" s="1925"/>
      <c r="FXI188" s="955"/>
      <c r="FXJ188" s="963"/>
      <c r="FXK188" s="2242"/>
      <c r="FXL188" s="1360"/>
      <c r="FXM188" s="955"/>
      <c r="FXN188" s="1361"/>
      <c r="FXO188" s="1360"/>
      <c r="FXP188" s="1925"/>
      <c r="FXQ188" s="955"/>
      <c r="FXR188" s="963"/>
      <c r="FXS188" s="2242"/>
      <c r="FXT188" s="1360"/>
      <c r="FXU188" s="955"/>
      <c r="FXV188" s="1361"/>
      <c r="FXW188" s="1360"/>
      <c r="FXX188" s="1925"/>
      <c r="FXY188" s="955"/>
      <c r="FXZ188" s="963"/>
      <c r="FYA188" s="2242"/>
      <c r="FYB188" s="1360"/>
      <c r="FYC188" s="955"/>
      <c r="FYD188" s="1361"/>
      <c r="FYE188" s="1360"/>
      <c r="FYF188" s="1925"/>
      <c r="FYG188" s="955"/>
      <c r="FYH188" s="963"/>
      <c r="FYI188" s="2242"/>
      <c r="FYJ188" s="1360"/>
      <c r="FYK188" s="955"/>
      <c r="FYL188" s="1361"/>
      <c r="FYM188" s="1360"/>
      <c r="FYN188" s="1925"/>
      <c r="FYO188" s="955"/>
      <c r="FYP188" s="963"/>
      <c r="FYQ188" s="2242"/>
      <c r="FYR188" s="1360"/>
      <c r="FYS188" s="955"/>
      <c r="FYT188" s="1361"/>
      <c r="FYU188" s="1360"/>
      <c r="FYV188" s="1925"/>
      <c r="FYW188" s="955"/>
      <c r="FYX188" s="963"/>
      <c r="FYY188" s="2242"/>
      <c r="FYZ188" s="1360"/>
      <c r="FZA188" s="955"/>
      <c r="FZB188" s="1361"/>
      <c r="FZC188" s="1360"/>
      <c r="FZD188" s="1925"/>
      <c r="FZE188" s="955"/>
      <c r="FZF188" s="963"/>
      <c r="FZG188" s="2242"/>
      <c r="FZH188" s="1360"/>
      <c r="FZI188" s="955"/>
      <c r="FZJ188" s="1361"/>
      <c r="FZK188" s="1360"/>
      <c r="FZL188" s="1925"/>
      <c r="FZM188" s="955"/>
      <c r="FZN188" s="963"/>
      <c r="FZO188" s="2242"/>
      <c r="FZP188" s="1360"/>
      <c r="FZQ188" s="955"/>
      <c r="FZR188" s="1361"/>
      <c r="FZS188" s="1360"/>
      <c r="FZT188" s="1925"/>
      <c r="FZU188" s="955"/>
      <c r="FZV188" s="963"/>
      <c r="FZW188" s="2242"/>
      <c r="FZX188" s="1360"/>
      <c r="FZY188" s="955"/>
      <c r="FZZ188" s="1361"/>
      <c r="GAA188" s="1360"/>
      <c r="GAB188" s="1925"/>
      <c r="GAC188" s="955"/>
      <c r="GAD188" s="963"/>
      <c r="GAE188" s="2242"/>
      <c r="GAF188" s="1360"/>
      <c r="GAG188" s="955"/>
      <c r="GAH188" s="1361"/>
      <c r="GAI188" s="1360"/>
      <c r="GAJ188" s="1925"/>
      <c r="GAK188" s="955"/>
      <c r="GAL188" s="963"/>
      <c r="GAM188" s="2242"/>
      <c r="GAN188" s="1360"/>
      <c r="GAO188" s="955"/>
      <c r="GAP188" s="1361"/>
      <c r="GAQ188" s="1360"/>
      <c r="GAR188" s="1925"/>
      <c r="GAS188" s="955"/>
      <c r="GAT188" s="963"/>
      <c r="GAU188" s="2242"/>
      <c r="GAV188" s="1360"/>
      <c r="GAW188" s="955"/>
      <c r="GAX188" s="1361"/>
      <c r="GAY188" s="1360"/>
      <c r="GAZ188" s="1925"/>
      <c r="GBA188" s="955"/>
      <c r="GBB188" s="963"/>
      <c r="GBC188" s="2242"/>
      <c r="GBD188" s="1360"/>
      <c r="GBE188" s="955"/>
      <c r="GBF188" s="1361"/>
      <c r="GBG188" s="1360"/>
      <c r="GBH188" s="1925"/>
      <c r="GBI188" s="955"/>
      <c r="GBJ188" s="963"/>
      <c r="GBK188" s="2242"/>
      <c r="GBL188" s="1360"/>
      <c r="GBM188" s="955"/>
      <c r="GBN188" s="1361"/>
      <c r="GBO188" s="1360"/>
      <c r="GBP188" s="1925"/>
      <c r="GBQ188" s="955"/>
      <c r="GBR188" s="963"/>
      <c r="GBS188" s="2242"/>
      <c r="GBT188" s="1360"/>
      <c r="GBU188" s="955"/>
      <c r="GBV188" s="1361"/>
      <c r="GBW188" s="1360"/>
      <c r="GBX188" s="1925"/>
      <c r="GBY188" s="955"/>
      <c r="GBZ188" s="963"/>
      <c r="GCA188" s="2242"/>
      <c r="GCB188" s="1360"/>
      <c r="GCC188" s="955"/>
      <c r="GCD188" s="1361"/>
      <c r="GCE188" s="1360"/>
      <c r="GCF188" s="1925"/>
      <c r="GCG188" s="955"/>
      <c r="GCH188" s="963"/>
      <c r="GCI188" s="2242"/>
      <c r="GCJ188" s="1360"/>
      <c r="GCK188" s="955"/>
      <c r="GCL188" s="1361"/>
      <c r="GCM188" s="1360"/>
      <c r="GCN188" s="1925"/>
      <c r="GCO188" s="955"/>
      <c r="GCP188" s="963"/>
      <c r="GCQ188" s="2242"/>
      <c r="GCR188" s="1360"/>
      <c r="GCS188" s="955"/>
      <c r="GCT188" s="1361"/>
      <c r="GCU188" s="1360"/>
      <c r="GCV188" s="1925"/>
      <c r="GCW188" s="955"/>
      <c r="GCX188" s="963"/>
      <c r="GCY188" s="2242"/>
      <c r="GCZ188" s="1360"/>
      <c r="GDA188" s="955"/>
      <c r="GDB188" s="1361"/>
      <c r="GDC188" s="1360"/>
      <c r="GDD188" s="1925"/>
      <c r="GDE188" s="955"/>
      <c r="GDF188" s="963"/>
      <c r="GDG188" s="2242"/>
      <c r="GDH188" s="1360"/>
      <c r="GDI188" s="955"/>
      <c r="GDJ188" s="1361"/>
      <c r="GDK188" s="1360"/>
      <c r="GDL188" s="1925"/>
      <c r="GDM188" s="955"/>
      <c r="GDN188" s="963"/>
      <c r="GDO188" s="2242"/>
      <c r="GDP188" s="1360"/>
      <c r="GDQ188" s="955"/>
      <c r="GDR188" s="1361"/>
      <c r="GDS188" s="1360"/>
      <c r="GDT188" s="1925"/>
      <c r="GDU188" s="955"/>
      <c r="GDV188" s="963"/>
      <c r="GDW188" s="2242"/>
      <c r="GDX188" s="1360"/>
      <c r="GDY188" s="955"/>
      <c r="GDZ188" s="1361"/>
      <c r="GEA188" s="1360"/>
      <c r="GEB188" s="1925"/>
      <c r="GEC188" s="955"/>
      <c r="GED188" s="963"/>
      <c r="GEE188" s="2242"/>
      <c r="GEF188" s="1360"/>
      <c r="GEG188" s="955"/>
      <c r="GEH188" s="1361"/>
      <c r="GEI188" s="1360"/>
      <c r="GEJ188" s="1925"/>
      <c r="GEK188" s="955"/>
      <c r="GEL188" s="963"/>
      <c r="GEM188" s="2242"/>
      <c r="GEN188" s="1360"/>
      <c r="GEO188" s="955"/>
      <c r="GEP188" s="1361"/>
      <c r="GEQ188" s="1360"/>
      <c r="GER188" s="1925"/>
      <c r="GES188" s="955"/>
      <c r="GET188" s="963"/>
      <c r="GEU188" s="2242"/>
      <c r="GEV188" s="1360"/>
      <c r="GEW188" s="955"/>
      <c r="GEX188" s="1361"/>
      <c r="GEY188" s="1360"/>
      <c r="GEZ188" s="1925"/>
      <c r="GFA188" s="955"/>
      <c r="GFB188" s="963"/>
      <c r="GFC188" s="2242"/>
      <c r="GFD188" s="1360"/>
      <c r="GFE188" s="955"/>
      <c r="GFF188" s="1361"/>
      <c r="GFG188" s="1360"/>
      <c r="GFH188" s="1925"/>
      <c r="GFI188" s="955"/>
      <c r="GFJ188" s="963"/>
      <c r="GFK188" s="2242"/>
      <c r="GFL188" s="1360"/>
      <c r="GFM188" s="955"/>
      <c r="GFN188" s="1361"/>
      <c r="GFO188" s="1360"/>
      <c r="GFP188" s="1925"/>
      <c r="GFQ188" s="955"/>
      <c r="GFR188" s="963"/>
      <c r="GFS188" s="2242"/>
      <c r="GFT188" s="1360"/>
      <c r="GFU188" s="955"/>
      <c r="GFV188" s="1361"/>
      <c r="GFW188" s="1360"/>
      <c r="GFX188" s="1925"/>
      <c r="GFY188" s="955"/>
      <c r="GFZ188" s="963"/>
      <c r="GGA188" s="2242"/>
      <c r="GGB188" s="1360"/>
      <c r="GGC188" s="955"/>
      <c r="GGD188" s="1361"/>
      <c r="GGE188" s="1360"/>
      <c r="GGF188" s="1925"/>
      <c r="GGG188" s="955"/>
      <c r="GGH188" s="963"/>
      <c r="GGI188" s="2242"/>
      <c r="GGJ188" s="1360"/>
      <c r="GGK188" s="955"/>
      <c r="GGL188" s="1361"/>
      <c r="GGM188" s="1360"/>
      <c r="GGN188" s="1925"/>
      <c r="GGO188" s="955"/>
      <c r="GGP188" s="963"/>
      <c r="GGQ188" s="2242"/>
      <c r="GGR188" s="1360"/>
      <c r="GGS188" s="955"/>
      <c r="GGT188" s="1361"/>
      <c r="GGU188" s="1360"/>
      <c r="GGV188" s="1925"/>
      <c r="GGW188" s="955"/>
      <c r="GGX188" s="963"/>
      <c r="GGY188" s="2242"/>
      <c r="GGZ188" s="1360"/>
      <c r="GHA188" s="955"/>
      <c r="GHB188" s="1361"/>
      <c r="GHC188" s="1360"/>
      <c r="GHD188" s="1925"/>
      <c r="GHE188" s="955"/>
      <c r="GHF188" s="963"/>
      <c r="GHG188" s="2242"/>
      <c r="GHH188" s="1360"/>
      <c r="GHI188" s="955"/>
      <c r="GHJ188" s="1361"/>
      <c r="GHK188" s="1360"/>
      <c r="GHL188" s="1925"/>
      <c r="GHM188" s="955"/>
      <c r="GHN188" s="963"/>
      <c r="GHO188" s="2242"/>
      <c r="GHP188" s="1360"/>
      <c r="GHQ188" s="955"/>
      <c r="GHR188" s="1361"/>
      <c r="GHS188" s="1360"/>
      <c r="GHT188" s="1925"/>
      <c r="GHU188" s="955"/>
      <c r="GHV188" s="963"/>
      <c r="GHW188" s="2242"/>
      <c r="GHX188" s="1360"/>
      <c r="GHY188" s="955"/>
      <c r="GHZ188" s="1361"/>
      <c r="GIA188" s="1360"/>
      <c r="GIB188" s="1925"/>
      <c r="GIC188" s="955"/>
      <c r="GID188" s="963"/>
      <c r="GIE188" s="2242"/>
      <c r="GIF188" s="1360"/>
      <c r="GIG188" s="955"/>
      <c r="GIH188" s="1361"/>
      <c r="GII188" s="1360"/>
      <c r="GIJ188" s="1925"/>
      <c r="GIK188" s="955"/>
      <c r="GIL188" s="963"/>
      <c r="GIM188" s="2242"/>
      <c r="GIN188" s="1360"/>
      <c r="GIO188" s="955"/>
      <c r="GIP188" s="1361"/>
      <c r="GIQ188" s="1360"/>
      <c r="GIR188" s="1925"/>
      <c r="GIS188" s="955"/>
      <c r="GIT188" s="963"/>
      <c r="GIU188" s="2242"/>
      <c r="GIV188" s="1360"/>
      <c r="GIW188" s="955"/>
      <c r="GIX188" s="1361"/>
      <c r="GIY188" s="1360"/>
      <c r="GIZ188" s="1925"/>
      <c r="GJA188" s="955"/>
      <c r="GJB188" s="963"/>
      <c r="GJC188" s="2242"/>
      <c r="GJD188" s="1360"/>
      <c r="GJE188" s="955"/>
      <c r="GJF188" s="1361"/>
      <c r="GJG188" s="1360"/>
      <c r="GJH188" s="1925"/>
      <c r="GJI188" s="955"/>
      <c r="GJJ188" s="963"/>
      <c r="GJK188" s="2242"/>
      <c r="GJL188" s="1360"/>
      <c r="GJM188" s="955"/>
      <c r="GJN188" s="1361"/>
      <c r="GJO188" s="1360"/>
      <c r="GJP188" s="1925"/>
      <c r="GJQ188" s="955"/>
      <c r="GJR188" s="963"/>
      <c r="GJS188" s="2242"/>
      <c r="GJT188" s="1360"/>
      <c r="GJU188" s="955"/>
      <c r="GJV188" s="1361"/>
      <c r="GJW188" s="1360"/>
      <c r="GJX188" s="1925"/>
      <c r="GJY188" s="955"/>
      <c r="GJZ188" s="963"/>
      <c r="GKA188" s="2242"/>
      <c r="GKB188" s="1360"/>
      <c r="GKC188" s="955"/>
      <c r="GKD188" s="1361"/>
      <c r="GKE188" s="1360"/>
      <c r="GKF188" s="1925"/>
      <c r="GKG188" s="955"/>
      <c r="GKH188" s="963"/>
      <c r="GKI188" s="2242"/>
      <c r="GKJ188" s="1360"/>
      <c r="GKK188" s="955"/>
      <c r="GKL188" s="1361"/>
      <c r="GKM188" s="1360"/>
      <c r="GKN188" s="1925"/>
      <c r="GKO188" s="955"/>
      <c r="GKP188" s="963"/>
      <c r="GKQ188" s="2242"/>
      <c r="GKR188" s="1360"/>
      <c r="GKS188" s="955"/>
      <c r="GKT188" s="1361"/>
      <c r="GKU188" s="1360"/>
      <c r="GKV188" s="1925"/>
      <c r="GKW188" s="955"/>
      <c r="GKX188" s="963"/>
      <c r="GKY188" s="2242"/>
      <c r="GKZ188" s="1360"/>
      <c r="GLA188" s="955"/>
      <c r="GLB188" s="1361"/>
      <c r="GLC188" s="1360"/>
      <c r="GLD188" s="1925"/>
      <c r="GLE188" s="955"/>
      <c r="GLF188" s="963"/>
      <c r="GLG188" s="2242"/>
      <c r="GLH188" s="1360"/>
      <c r="GLI188" s="955"/>
      <c r="GLJ188" s="1361"/>
      <c r="GLK188" s="1360"/>
      <c r="GLL188" s="1925"/>
      <c r="GLM188" s="955"/>
      <c r="GLN188" s="963"/>
      <c r="GLO188" s="2242"/>
      <c r="GLP188" s="1360"/>
      <c r="GLQ188" s="955"/>
      <c r="GLR188" s="1361"/>
      <c r="GLS188" s="1360"/>
      <c r="GLT188" s="1925"/>
      <c r="GLU188" s="955"/>
      <c r="GLV188" s="963"/>
      <c r="GLW188" s="2242"/>
      <c r="GLX188" s="1360"/>
      <c r="GLY188" s="955"/>
      <c r="GLZ188" s="1361"/>
      <c r="GMA188" s="1360"/>
      <c r="GMB188" s="1925"/>
      <c r="GMC188" s="955"/>
      <c r="GMD188" s="963"/>
      <c r="GME188" s="2242"/>
      <c r="GMF188" s="1360"/>
      <c r="GMG188" s="955"/>
      <c r="GMH188" s="1361"/>
      <c r="GMI188" s="1360"/>
      <c r="GMJ188" s="1925"/>
      <c r="GMK188" s="955"/>
      <c r="GML188" s="963"/>
      <c r="GMM188" s="2242"/>
      <c r="GMN188" s="1360"/>
      <c r="GMO188" s="955"/>
      <c r="GMP188" s="1361"/>
      <c r="GMQ188" s="1360"/>
      <c r="GMR188" s="1925"/>
      <c r="GMS188" s="955"/>
      <c r="GMT188" s="963"/>
      <c r="GMU188" s="2242"/>
      <c r="GMV188" s="1360"/>
      <c r="GMW188" s="955"/>
      <c r="GMX188" s="1361"/>
      <c r="GMY188" s="1360"/>
      <c r="GMZ188" s="1925"/>
      <c r="GNA188" s="955"/>
      <c r="GNB188" s="963"/>
      <c r="GNC188" s="2242"/>
      <c r="GND188" s="1360"/>
      <c r="GNE188" s="955"/>
      <c r="GNF188" s="1361"/>
      <c r="GNG188" s="1360"/>
      <c r="GNH188" s="1925"/>
      <c r="GNI188" s="955"/>
      <c r="GNJ188" s="963"/>
      <c r="GNK188" s="2242"/>
      <c r="GNL188" s="1360"/>
      <c r="GNM188" s="955"/>
      <c r="GNN188" s="1361"/>
      <c r="GNO188" s="1360"/>
      <c r="GNP188" s="1925"/>
      <c r="GNQ188" s="955"/>
      <c r="GNR188" s="963"/>
      <c r="GNS188" s="2242"/>
      <c r="GNT188" s="1360"/>
      <c r="GNU188" s="955"/>
      <c r="GNV188" s="1361"/>
      <c r="GNW188" s="1360"/>
      <c r="GNX188" s="1925"/>
      <c r="GNY188" s="955"/>
      <c r="GNZ188" s="963"/>
      <c r="GOA188" s="2242"/>
      <c r="GOB188" s="1360"/>
      <c r="GOC188" s="955"/>
      <c r="GOD188" s="1361"/>
      <c r="GOE188" s="1360"/>
      <c r="GOF188" s="1925"/>
      <c r="GOG188" s="955"/>
      <c r="GOH188" s="963"/>
      <c r="GOI188" s="2242"/>
      <c r="GOJ188" s="1360"/>
      <c r="GOK188" s="955"/>
      <c r="GOL188" s="1361"/>
      <c r="GOM188" s="1360"/>
      <c r="GON188" s="1925"/>
      <c r="GOO188" s="955"/>
      <c r="GOP188" s="963"/>
      <c r="GOQ188" s="2242"/>
      <c r="GOR188" s="1360"/>
      <c r="GOS188" s="955"/>
      <c r="GOT188" s="1361"/>
      <c r="GOU188" s="1360"/>
      <c r="GOV188" s="1925"/>
      <c r="GOW188" s="955"/>
      <c r="GOX188" s="963"/>
      <c r="GOY188" s="2242"/>
      <c r="GOZ188" s="1360"/>
      <c r="GPA188" s="955"/>
      <c r="GPB188" s="1361"/>
      <c r="GPC188" s="1360"/>
      <c r="GPD188" s="1925"/>
      <c r="GPE188" s="955"/>
      <c r="GPF188" s="963"/>
      <c r="GPG188" s="2242"/>
      <c r="GPH188" s="1360"/>
      <c r="GPI188" s="955"/>
      <c r="GPJ188" s="1361"/>
      <c r="GPK188" s="1360"/>
      <c r="GPL188" s="1925"/>
      <c r="GPM188" s="955"/>
      <c r="GPN188" s="963"/>
      <c r="GPO188" s="2242"/>
      <c r="GPP188" s="1360"/>
      <c r="GPQ188" s="955"/>
      <c r="GPR188" s="1361"/>
      <c r="GPS188" s="1360"/>
      <c r="GPT188" s="1925"/>
      <c r="GPU188" s="955"/>
      <c r="GPV188" s="963"/>
      <c r="GPW188" s="2242"/>
      <c r="GPX188" s="1360"/>
      <c r="GPY188" s="955"/>
      <c r="GPZ188" s="1361"/>
      <c r="GQA188" s="1360"/>
      <c r="GQB188" s="1925"/>
      <c r="GQC188" s="955"/>
      <c r="GQD188" s="963"/>
      <c r="GQE188" s="2242"/>
      <c r="GQF188" s="1360"/>
      <c r="GQG188" s="955"/>
      <c r="GQH188" s="1361"/>
      <c r="GQI188" s="1360"/>
      <c r="GQJ188" s="1925"/>
      <c r="GQK188" s="955"/>
      <c r="GQL188" s="963"/>
      <c r="GQM188" s="2242"/>
      <c r="GQN188" s="1360"/>
      <c r="GQO188" s="955"/>
      <c r="GQP188" s="1361"/>
      <c r="GQQ188" s="1360"/>
      <c r="GQR188" s="1925"/>
      <c r="GQS188" s="955"/>
      <c r="GQT188" s="963"/>
      <c r="GQU188" s="2242"/>
      <c r="GQV188" s="1360"/>
      <c r="GQW188" s="955"/>
      <c r="GQX188" s="1361"/>
      <c r="GQY188" s="1360"/>
      <c r="GQZ188" s="1925"/>
      <c r="GRA188" s="955"/>
      <c r="GRB188" s="963"/>
      <c r="GRC188" s="2242"/>
      <c r="GRD188" s="1360"/>
      <c r="GRE188" s="955"/>
      <c r="GRF188" s="1361"/>
      <c r="GRG188" s="1360"/>
      <c r="GRH188" s="1925"/>
      <c r="GRI188" s="955"/>
      <c r="GRJ188" s="963"/>
      <c r="GRK188" s="2242"/>
      <c r="GRL188" s="1360"/>
      <c r="GRM188" s="955"/>
      <c r="GRN188" s="1361"/>
      <c r="GRO188" s="1360"/>
      <c r="GRP188" s="1925"/>
      <c r="GRQ188" s="955"/>
      <c r="GRR188" s="963"/>
      <c r="GRS188" s="2242"/>
      <c r="GRT188" s="1360"/>
      <c r="GRU188" s="955"/>
      <c r="GRV188" s="1361"/>
      <c r="GRW188" s="1360"/>
      <c r="GRX188" s="1925"/>
      <c r="GRY188" s="955"/>
      <c r="GRZ188" s="963"/>
      <c r="GSA188" s="2242"/>
      <c r="GSB188" s="1360"/>
      <c r="GSC188" s="955"/>
      <c r="GSD188" s="1361"/>
      <c r="GSE188" s="1360"/>
      <c r="GSF188" s="1925"/>
      <c r="GSG188" s="955"/>
      <c r="GSH188" s="963"/>
      <c r="GSI188" s="2242"/>
      <c r="GSJ188" s="1360"/>
      <c r="GSK188" s="955"/>
      <c r="GSL188" s="1361"/>
      <c r="GSM188" s="1360"/>
      <c r="GSN188" s="1925"/>
      <c r="GSO188" s="955"/>
      <c r="GSP188" s="963"/>
      <c r="GSQ188" s="2242"/>
      <c r="GSR188" s="1360"/>
      <c r="GSS188" s="955"/>
      <c r="GST188" s="1361"/>
      <c r="GSU188" s="1360"/>
      <c r="GSV188" s="1925"/>
      <c r="GSW188" s="955"/>
      <c r="GSX188" s="963"/>
      <c r="GSY188" s="2242"/>
      <c r="GSZ188" s="1360"/>
      <c r="GTA188" s="955"/>
      <c r="GTB188" s="1361"/>
      <c r="GTC188" s="1360"/>
      <c r="GTD188" s="1925"/>
      <c r="GTE188" s="955"/>
      <c r="GTF188" s="963"/>
      <c r="GTG188" s="2242"/>
      <c r="GTH188" s="1360"/>
      <c r="GTI188" s="955"/>
      <c r="GTJ188" s="1361"/>
      <c r="GTK188" s="1360"/>
      <c r="GTL188" s="1925"/>
      <c r="GTM188" s="955"/>
      <c r="GTN188" s="963"/>
      <c r="GTO188" s="2242"/>
      <c r="GTP188" s="1360"/>
      <c r="GTQ188" s="955"/>
      <c r="GTR188" s="1361"/>
      <c r="GTS188" s="1360"/>
      <c r="GTT188" s="1925"/>
      <c r="GTU188" s="955"/>
      <c r="GTV188" s="963"/>
      <c r="GTW188" s="2242"/>
      <c r="GTX188" s="1360"/>
      <c r="GTY188" s="955"/>
      <c r="GTZ188" s="1361"/>
      <c r="GUA188" s="1360"/>
      <c r="GUB188" s="1925"/>
      <c r="GUC188" s="955"/>
      <c r="GUD188" s="963"/>
      <c r="GUE188" s="2242"/>
      <c r="GUF188" s="1360"/>
      <c r="GUG188" s="955"/>
      <c r="GUH188" s="1361"/>
      <c r="GUI188" s="1360"/>
      <c r="GUJ188" s="1925"/>
      <c r="GUK188" s="955"/>
      <c r="GUL188" s="963"/>
      <c r="GUM188" s="2242"/>
      <c r="GUN188" s="1360"/>
      <c r="GUO188" s="955"/>
      <c r="GUP188" s="1361"/>
      <c r="GUQ188" s="1360"/>
      <c r="GUR188" s="1925"/>
      <c r="GUS188" s="955"/>
      <c r="GUT188" s="963"/>
      <c r="GUU188" s="2242"/>
      <c r="GUV188" s="1360"/>
      <c r="GUW188" s="955"/>
      <c r="GUX188" s="1361"/>
      <c r="GUY188" s="1360"/>
      <c r="GUZ188" s="1925"/>
      <c r="GVA188" s="955"/>
      <c r="GVB188" s="963"/>
      <c r="GVC188" s="2242"/>
      <c r="GVD188" s="1360"/>
      <c r="GVE188" s="955"/>
      <c r="GVF188" s="1361"/>
      <c r="GVG188" s="1360"/>
      <c r="GVH188" s="1925"/>
      <c r="GVI188" s="955"/>
      <c r="GVJ188" s="963"/>
      <c r="GVK188" s="2242"/>
      <c r="GVL188" s="1360"/>
      <c r="GVM188" s="955"/>
      <c r="GVN188" s="1361"/>
      <c r="GVO188" s="1360"/>
      <c r="GVP188" s="1925"/>
      <c r="GVQ188" s="955"/>
      <c r="GVR188" s="963"/>
      <c r="GVS188" s="2242"/>
      <c r="GVT188" s="1360"/>
      <c r="GVU188" s="955"/>
      <c r="GVV188" s="1361"/>
      <c r="GVW188" s="1360"/>
      <c r="GVX188" s="1925"/>
      <c r="GVY188" s="955"/>
      <c r="GVZ188" s="963"/>
      <c r="GWA188" s="2242"/>
      <c r="GWB188" s="1360"/>
      <c r="GWC188" s="955"/>
      <c r="GWD188" s="1361"/>
      <c r="GWE188" s="1360"/>
      <c r="GWF188" s="1925"/>
      <c r="GWG188" s="955"/>
      <c r="GWH188" s="963"/>
      <c r="GWI188" s="2242"/>
      <c r="GWJ188" s="1360"/>
      <c r="GWK188" s="955"/>
      <c r="GWL188" s="1361"/>
      <c r="GWM188" s="1360"/>
      <c r="GWN188" s="1925"/>
      <c r="GWO188" s="955"/>
      <c r="GWP188" s="963"/>
      <c r="GWQ188" s="2242"/>
      <c r="GWR188" s="1360"/>
      <c r="GWS188" s="955"/>
      <c r="GWT188" s="1361"/>
      <c r="GWU188" s="1360"/>
      <c r="GWV188" s="1925"/>
      <c r="GWW188" s="955"/>
      <c r="GWX188" s="963"/>
      <c r="GWY188" s="2242"/>
      <c r="GWZ188" s="1360"/>
      <c r="GXA188" s="955"/>
      <c r="GXB188" s="1361"/>
      <c r="GXC188" s="1360"/>
      <c r="GXD188" s="1925"/>
      <c r="GXE188" s="955"/>
      <c r="GXF188" s="963"/>
      <c r="GXG188" s="2242"/>
      <c r="GXH188" s="1360"/>
      <c r="GXI188" s="955"/>
      <c r="GXJ188" s="1361"/>
      <c r="GXK188" s="1360"/>
      <c r="GXL188" s="1925"/>
      <c r="GXM188" s="955"/>
      <c r="GXN188" s="963"/>
      <c r="GXO188" s="2242"/>
      <c r="GXP188" s="1360"/>
      <c r="GXQ188" s="955"/>
      <c r="GXR188" s="1361"/>
      <c r="GXS188" s="1360"/>
      <c r="GXT188" s="1925"/>
      <c r="GXU188" s="955"/>
      <c r="GXV188" s="963"/>
      <c r="GXW188" s="2242"/>
      <c r="GXX188" s="1360"/>
      <c r="GXY188" s="955"/>
      <c r="GXZ188" s="1361"/>
      <c r="GYA188" s="1360"/>
      <c r="GYB188" s="1925"/>
      <c r="GYC188" s="955"/>
      <c r="GYD188" s="963"/>
      <c r="GYE188" s="2242"/>
      <c r="GYF188" s="1360"/>
      <c r="GYG188" s="955"/>
      <c r="GYH188" s="1361"/>
      <c r="GYI188" s="1360"/>
      <c r="GYJ188" s="1925"/>
      <c r="GYK188" s="955"/>
      <c r="GYL188" s="963"/>
      <c r="GYM188" s="2242"/>
      <c r="GYN188" s="1360"/>
      <c r="GYO188" s="955"/>
      <c r="GYP188" s="1361"/>
      <c r="GYQ188" s="1360"/>
      <c r="GYR188" s="1925"/>
      <c r="GYS188" s="955"/>
      <c r="GYT188" s="963"/>
      <c r="GYU188" s="2242"/>
      <c r="GYV188" s="1360"/>
      <c r="GYW188" s="955"/>
      <c r="GYX188" s="1361"/>
      <c r="GYY188" s="1360"/>
      <c r="GYZ188" s="1925"/>
      <c r="GZA188" s="955"/>
      <c r="GZB188" s="963"/>
      <c r="GZC188" s="2242"/>
      <c r="GZD188" s="1360"/>
      <c r="GZE188" s="955"/>
      <c r="GZF188" s="1361"/>
      <c r="GZG188" s="1360"/>
      <c r="GZH188" s="1925"/>
      <c r="GZI188" s="955"/>
      <c r="GZJ188" s="963"/>
      <c r="GZK188" s="2242"/>
      <c r="GZL188" s="1360"/>
      <c r="GZM188" s="955"/>
      <c r="GZN188" s="1361"/>
      <c r="GZO188" s="1360"/>
      <c r="GZP188" s="1925"/>
      <c r="GZQ188" s="955"/>
      <c r="GZR188" s="963"/>
      <c r="GZS188" s="2242"/>
      <c r="GZT188" s="1360"/>
      <c r="GZU188" s="955"/>
      <c r="GZV188" s="1361"/>
      <c r="GZW188" s="1360"/>
      <c r="GZX188" s="1925"/>
      <c r="GZY188" s="955"/>
      <c r="GZZ188" s="963"/>
      <c r="HAA188" s="2242"/>
      <c r="HAB188" s="1360"/>
      <c r="HAC188" s="955"/>
      <c r="HAD188" s="1361"/>
      <c r="HAE188" s="1360"/>
      <c r="HAF188" s="1925"/>
      <c r="HAG188" s="955"/>
      <c r="HAH188" s="963"/>
      <c r="HAI188" s="2242"/>
      <c r="HAJ188" s="1360"/>
      <c r="HAK188" s="955"/>
      <c r="HAL188" s="1361"/>
      <c r="HAM188" s="1360"/>
      <c r="HAN188" s="1925"/>
      <c r="HAO188" s="955"/>
      <c r="HAP188" s="963"/>
      <c r="HAQ188" s="2242"/>
      <c r="HAR188" s="1360"/>
      <c r="HAS188" s="955"/>
      <c r="HAT188" s="1361"/>
      <c r="HAU188" s="1360"/>
      <c r="HAV188" s="1925"/>
      <c r="HAW188" s="955"/>
      <c r="HAX188" s="963"/>
      <c r="HAY188" s="2242"/>
      <c r="HAZ188" s="1360"/>
      <c r="HBA188" s="955"/>
      <c r="HBB188" s="1361"/>
      <c r="HBC188" s="1360"/>
      <c r="HBD188" s="1925"/>
      <c r="HBE188" s="955"/>
      <c r="HBF188" s="963"/>
      <c r="HBG188" s="2242"/>
      <c r="HBH188" s="1360"/>
      <c r="HBI188" s="955"/>
      <c r="HBJ188" s="1361"/>
      <c r="HBK188" s="1360"/>
      <c r="HBL188" s="1925"/>
      <c r="HBM188" s="955"/>
      <c r="HBN188" s="963"/>
      <c r="HBO188" s="2242"/>
      <c r="HBP188" s="1360"/>
      <c r="HBQ188" s="955"/>
      <c r="HBR188" s="1361"/>
      <c r="HBS188" s="1360"/>
      <c r="HBT188" s="1925"/>
      <c r="HBU188" s="955"/>
      <c r="HBV188" s="963"/>
      <c r="HBW188" s="2242"/>
      <c r="HBX188" s="1360"/>
      <c r="HBY188" s="955"/>
      <c r="HBZ188" s="1361"/>
      <c r="HCA188" s="1360"/>
      <c r="HCB188" s="1925"/>
      <c r="HCC188" s="955"/>
      <c r="HCD188" s="963"/>
      <c r="HCE188" s="2242"/>
      <c r="HCF188" s="1360"/>
      <c r="HCG188" s="955"/>
      <c r="HCH188" s="1361"/>
      <c r="HCI188" s="1360"/>
      <c r="HCJ188" s="1925"/>
      <c r="HCK188" s="955"/>
      <c r="HCL188" s="963"/>
      <c r="HCM188" s="2242"/>
      <c r="HCN188" s="1360"/>
      <c r="HCO188" s="955"/>
      <c r="HCP188" s="1361"/>
      <c r="HCQ188" s="1360"/>
      <c r="HCR188" s="1925"/>
      <c r="HCS188" s="955"/>
      <c r="HCT188" s="963"/>
      <c r="HCU188" s="2242"/>
      <c r="HCV188" s="1360"/>
      <c r="HCW188" s="955"/>
      <c r="HCX188" s="1361"/>
      <c r="HCY188" s="1360"/>
      <c r="HCZ188" s="1925"/>
      <c r="HDA188" s="955"/>
      <c r="HDB188" s="963"/>
      <c r="HDC188" s="2242"/>
      <c r="HDD188" s="1360"/>
      <c r="HDE188" s="955"/>
      <c r="HDF188" s="1361"/>
      <c r="HDG188" s="1360"/>
      <c r="HDH188" s="1925"/>
      <c r="HDI188" s="955"/>
      <c r="HDJ188" s="963"/>
      <c r="HDK188" s="2242"/>
      <c r="HDL188" s="1360"/>
      <c r="HDM188" s="955"/>
      <c r="HDN188" s="1361"/>
      <c r="HDO188" s="1360"/>
      <c r="HDP188" s="1925"/>
      <c r="HDQ188" s="955"/>
      <c r="HDR188" s="963"/>
      <c r="HDS188" s="2242"/>
      <c r="HDT188" s="1360"/>
      <c r="HDU188" s="955"/>
      <c r="HDV188" s="1361"/>
      <c r="HDW188" s="1360"/>
      <c r="HDX188" s="1925"/>
      <c r="HDY188" s="955"/>
      <c r="HDZ188" s="963"/>
      <c r="HEA188" s="2242"/>
      <c r="HEB188" s="1360"/>
      <c r="HEC188" s="955"/>
      <c r="HED188" s="1361"/>
      <c r="HEE188" s="1360"/>
      <c r="HEF188" s="1925"/>
      <c r="HEG188" s="955"/>
      <c r="HEH188" s="963"/>
      <c r="HEI188" s="2242"/>
      <c r="HEJ188" s="1360"/>
      <c r="HEK188" s="955"/>
      <c r="HEL188" s="1361"/>
      <c r="HEM188" s="1360"/>
      <c r="HEN188" s="1925"/>
      <c r="HEO188" s="955"/>
      <c r="HEP188" s="963"/>
      <c r="HEQ188" s="2242"/>
      <c r="HER188" s="1360"/>
      <c r="HES188" s="955"/>
      <c r="HET188" s="1361"/>
      <c r="HEU188" s="1360"/>
      <c r="HEV188" s="1925"/>
      <c r="HEW188" s="955"/>
      <c r="HEX188" s="963"/>
      <c r="HEY188" s="2242"/>
      <c r="HEZ188" s="1360"/>
      <c r="HFA188" s="955"/>
      <c r="HFB188" s="1361"/>
      <c r="HFC188" s="1360"/>
      <c r="HFD188" s="1925"/>
      <c r="HFE188" s="955"/>
      <c r="HFF188" s="963"/>
      <c r="HFG188" s="2242"/>
      <c r="HFH188" s="1360"/>
      <c r="HFI188" s="955"/>
      <c r="HFJ188" s="1361"/>
      <c r="HFK188" s="1360"/>
      <c r="HFL188" s="1925"/>
      <c r="HFM188" s="955"/>
      <c r="HFN188" s="963"/>
      <c r="HFO188" s="2242"/>
      <c r="HFP188" s="1360"/>
      <c r="HFQ188" s="955"/>
      <c r="HFR188" s="1361"/>
      <c r="HFS188" s="1360"/>
      <c r="HFT188" s="1925"/>
      <c r="HFU188" s="955"/>
      <c r="HFV188" s="963"/>
      <c r="HFW188" s="2242"/>
      <c r="HFX188" s="1360"/>
      <c r="HFY188" s="955"/>
      <c r="HFZ188" s="1361"/>
      <c r="HGA188" s="1360"/>
      <c r="HGB188" s="1925"/>
      <c r="HGC188" s="955"/>
      <c r="HGD188" s="963"/>
      <c r="HGE188" s="2242"/>
      <c r="HGF188" s="1360"/>
      <c r="HGG188" s="955"/>
      <c r="HGH188" s="1361"/>
      <c r="HGI188" s="1360"/>
      <c r="HGJ188" s="1925"/>
      <c r="HGK188" s="955"/>
      <c r="HGL188" s="963"/>
      <c r="HGM188" s="2242"/>
      <c r="HGN188" s="1360"/>
      <c r="HGO188" s="955"/>
      <c r="HGP188" s="1361"/>
      <c r="HGQ188" s="1360"/>
      <c r="HGR188" s="1925"/>
      <c r="HGS188" s="955"/>
      <c r="HGT188" s="963"/>
      <c r="HGU188" s="2242"/>
      <c r="HGV188" s="1360"/>
      <c r="HGW188" s="955"/>
      <c r="HGX188" s="1361"/>
      <c r="HGY188" s="1360"/>
      <c r="HGZ188" s="1925"/>
      <c r="HHA188" s="955"/>
      <c r="HHB188" s="963"/>
      <c r="HHC188" s="2242"/>
      <c r="HHD188" s="1360"/>
      <c r="HHE188" s="955"/>
      <c r="HHF188" s="1361"/>
      <c r="HHG188" s="1360"/>
      <c r="HHH188" s="1925"/>
      <c r="HHI188" s="955"/>
      <c r="HHJ188" s="963"/>
      <c r="HHK188" s="2242"/>
      <c r="HHL188" s="1360"/>
      <c r="HHM188" s="955"/>
      <c r="HHN188" s="1361"/>
      <c r="HHO188" s="1360"/>
      <c r="HHP188" s="1925"/>
      <c r="HHQ188" s="955"/>
      <c r="HHR188" s="963"/>
      <c r="HHS188" s="2242"/>
      <c r="HHT188" s="1360"/>
      <c r="HHU188" s="955"/>
      <c r="HHV188" s="1361"/>
      <c r="HHW188" s="1360"/>
      <c r="HHX188" s="1925"/>
      <c r="HHY188" s="955"/>
      <c r="HHZ188" s="963"/>
      <c r="HIA188" s="2242"/>
      <c r="HIB188" s="1360"/>
      <c r="HIC188" s="955"/>
      <c r="HID188" s="1361"/>
      <c r="HIE188" s="1360"/>
      <c r="HIF188" s="1925"/>
      <c r="HIG188" s="955"/>
      <c r="HIH188" s="963"/>
      <c r="HII188" s="2242"/>
      <c r="HIJ188" s="1360"/>
      <c r="HIK188" s="955"/>
      <c r="HIL188" s="1361"/>
      <c r="HIM188" s="1360"/>
      <c r="HIN188" s="1925"/>
      <c r="HIO188" s="955"/>
      <c r="HIP188" s="963"/>
      <c r="HIQ188" s="2242"/>
      <c r="HIR188" s="1360"/>
      <c r="HIS188" s="955"/>
      <c r="HIT188" s="1361"/>
      <c r="HIU188" s="1360"/>
      <c r="HIV188" s="1925"/>
      <c r="HIW188" s="955"/>
      <c r="HIX188" s="963"/>
      <c r="HIY188" s="2242"/>
      <c r="HIZ188" s="1360"/>
      <c r="HJA188" s="955"/>
      <c r="HJB188" s="1361"/>
      <c r="HJC188" s="1360"/>
      <c r="HJD188" s="1925"/>
      <c r="HJE188" s="955"/>
      <c r="HJF188" s="963"/>
      <c r="HJG188" s="2242"/>
      <c r="HJH188" s="1360"/>
      <c r="HJI188" s="955"/>
      <c r="HJJ188" s="1361"/>
      <c r="HJK188" s="1360"/>
      <c r="HJL188" s="1925"/>
      <c r="HJM188" s="955"/>
      <c r="HJN188" s="963"/>
      <c r="HJO188" s="2242"/>
      <c r="HJP188" s="1360"/>
      <c r="HJQ188" s="955"/>
      <c r="HJR188" s="1361"/>
      <c r="HJS188" s="1360"/>
      <c r="HJT188" s="1925"/>
      <c r="HJU188" s="955"/>
      <c r="HJV188" s="963"/>
      <c r="HJW188" s="2242"/>
      <c r="HJX188" s="1360"/>
      <c r="HJY188" s="955"/>
      <c r="HJZ188" s="1361"/>
      <c r="HKA188" s="1360"/>
      <c r="HKB188" s="1925"/>
      <c r="HKC188" s="955"/>
      <c r="HKD188" s="963"/>
      <c r="HKE188" s="2242"/>
      <c r="HKF188" s="1360"/>
      <c r="HKG188" s="955"/>
      <c r="HKH188" s="1361"/>
      <c r="HKI188" s="1360"/>
      <c r="HKJ188" s="1925"/>
      <c r="HKK188" s="955"/>
      <c r="HKL188" s="963"/>
      <c r="HKM188" s="2242"/>
      <c r="HKN188" s="1360"/>
      <c r="HKO188" s="955"/>
      <c r="HKP188" s="1361"/>
      <c r="HKQ188" s="1360"/>
      <c r="HKR188" s="1925"/>
      <c r="HKS188" s="955"/>
      <c r="HKT188" s="963"/>
      <c r="HKU188" s="2242"/>
      <c r="HKV188" s="1360"/>
      <c r="HKW188" s="955"/>
      <c r="HKX188" s="1361"/>
      <c r="HKY188" s="1360"/>
      <c r="HKZ188" s="1925"/>
      <c r="HLA188" s="955"/>
      <c r="HLB188" s="963"/>
      <c r="HLC188" s="2242"/>
      <c r="HLD188" s="1360"/>
      <c r="HLE188" s="955"/>
      <c r="HLF188" s="1361"/>
      <c r="HLG188" s="1360"/>
      <c r="HLH188" s="1925"/>
      <c r="HLI188" s="955"/>
      <c r="HLJ188" s="963"/>
      <c r="HLK188" s="2242"/>
      <c r="HLL188" s="1360"/>
      <c r="HLM188" s="955"/>
      <c r="HLN188" s="1361"/>
      <c r="HLO188" s="1360"/>
      <c r="HLP188" s="1925"/>
      <c r="HLQ188" s="955"/>
      <c r="HLR188" s="963"/>
      <c r="HLS188" s="2242"/>
      <c r="HLT188" s="1360"/>
      <c r="HLU188" s="955"/>
      <c r="HLV188" s="1361"/>
      <c r="HLW188" s="1360"/>
      <c r="HLX188" s="1925"/>
      <c r="HLY188" s="955"/>
      <c r="HLZ188" s="963"/>
      <c r="HMA188" s="2242"/>
      <c r="HMB188" s="1360"/>
      <c r="HMC188" s="955"/>
      <c r="HMD188" s="1361"/>
      <c r="HME188" s="1360"/>
      <c r="HMF188" s="1925"/>
      <c r="HMG188" s="955"/>
      <c r="HMH188" s="963"/>
      <c r="HMI188" s="2242"/>
      <c r="HMJ188" s="1360"/>
      <c r="HMK188" s="955"/>
      <c r="HML188" s="1361"/>
      <c r="HMM188" s="1360"/>
      <c r="HMN188" s="1925"/>
      <c r="HMO188" s="955"/>
      <c r="HMP188" s="963"/>
      <c r="HMQ188" s="2242"/>
      <c r="HMR188" s="1360"/>
      <c r="HMS188" s="955"/>
      <c r="HMT188" s="1361"/>
      <c r="HMU188" s="1360"/>
      <c r="HMV188" s="1925"/>
      <c r="HMW188" s="955"/>
      <c r="HMX188" s="963"/>
      <c r="HMY188" s="2242"/>
      <c r="HMZ188" s="1360"/>
      <c r="HNA188" s="955"/>
      <c r="HNB188" s="1361"/>
      <c r="HNC188" s="1360"/>
      <c r="HND188" s="1925"/>
      <c r="HNE188" s="955"/>
      <c r="HNF188" s="963"/>
      <c r="HNG188" s="2242"/>
      <c r="HNH188" s="1360"/>
      <c r="HNI188" s="955"/>
      <c r="HNJ188" s="1361"/>
      <c r="HNK188" s="1360"/>
      <c r="HNL188" s="1925"/>
      <c r="HNM188" s="955"/>
      <c r="HNN188" s="963"/>
      <c r="HNO188" s="2242"/>
      <c r="HNP188" s="1360"/>
      <c r="HNQ188" s="955"/>
      <c r="HNR188" s="1361"/>
      <c r="HNS188" s="1360"/>
      <c r="HNT188" s="1925"/>
      <c r="HNU188" s="955"/>
      <c r="HNV188" s="963"/>
      <c r="HNW188" s="2242"/>
      <c r="HNX188" s="1360"/>
      <c r="HNY188" s="955"/>
      <c r="HNZ188" s="1361"/>
      <c r="HOA188" s="1360"/>
      <c r="HOB188" s="1925"/>
      <c r="HOC188" s="955"/>
      <c r="HOD188" s="963"/>
      <c r="HOE188" s="2242"/>
      <c r="HOF188" s="1360"/>
      <c r="HOG188" s="955"/>
      <c r="HOH188" s="1361"/>
      <c r="HOI188" s="1360"/>
      <c r="HOJ188" s="1925"/>
      <c r="HOK188" s="955"/>
      <c r="HOL188" s="963"/>
      <c r="HOM188" s="2242"/>
      <c r="HON188" s="1360"/>
      <c r="HOO188" s="955"/>
      <c r="HOP188" s="1361"/>
      <c r="HOQ188" s="1360"/>
      <c r="HOR188" s="1925"/>
      <c r="HOS188" s="955"/>
      <c r="HOT188" s="963"/>
      <c r="HOU188" s="2242"/>
      <c r="HOV188" s="1360"/>
      <c r="HOW188" s="955"/>
      <c r="HOX188" s="1361"/>
      <c r="HOY188" s="1360"/>
      <c r="HOZ188" s="1925"/>
      <c r="HPA188" s="955"/>
      <c r="HPB188" s="963"/>
      <c r="HPC188" s="2242"/>
      <c r="HPD188" s="1360"/>
      <c r="HPE188" s="955"/>
      <c r="HPF188" s="1361"/>
      <c r="HPG188" s="1360"/>
      <c r="HPH188" s="1925"/>
      <c r="HPI188" s="955"/>
      <c r="HPJ188" s="963"/>
      <c r="HPK188" s="2242"/>
      <c r="HPL188" s="1360"/>
      <c r="HPM188" s="955"/>
      <c r="HPN188" s="1361"/>
      <c r="HPO188" s="1360"/>
      <c r="HPP188" s="1925"/>
      <c r="HPQ188" s="955"/>
      <c r="HPR188" s="963"/>
      <c r="HPS188" s="2242"/>
      <c r="HPT188" s="1360"/>
      <c r="HPU188" s="955"/>
      <c r="HPV188" s="1361"/>
      <c r="HPW188" s="1360"/>
      <c r="HPX188" s="1925"/>
      <c r="HPY188" s="955"/>
      <c r="HPZ188" s="963"/>
      <c r="HQA188" s="2242"/>
      <c r="HQB188" s="1360"/>
      <c r="HQC188" s="955"/>
      <c r="HQD188" s="1361"/>
      <c r="HQE188" s="1360"/>
      <c r="HQF188" s="1925"/>
      <c r="HQG188" s="955"/>
      <c r="HQH188" s="963"/>
      <c r="HQI188" s="2242"/>
      <c r="HQJ188" s="1360"/>
      <c r="HQK188" s="955"/>
      <c r="HQL188" s="1361"/>
      <c r="HQM188" s="1360"/>
      <c r="HQN188" s="1925"/>
      <c r="HQO188" s="955"/>
      <c r="HQP188" s="963"/>
      <c r="HQQ188" s="2242"/>
      <c r="HQR188" s="1360"/>
      <c r="HQS188" s="955"/>
      <c r="HQT188" s="1361"/>
      <c r="HQU188" s="1360"/>
      <c r="HQV188" s="1925"/>
      <c r="HQW188" s="955"/>
      <c r="HQX188" s="963"/>
      <c r="HQY188" s="2242"/>
      <c r="HQZ188" s="1360"/>
      <c r="HRA188" s="955"/>
      <c r="HRB188" s="1361"/>
      <c r="HRC188" s="1360"/>
      <c r="HRD188" s="1925"/>
      <c r="HRE188" s="955"/>
      <c r="HRF188" s="963"/>
      <c r="HRG188" s="2242"/>
      <c r="HRH188" s="1360"/>
      <c r="HRI188" s="955"/>
      <c r="HRJ188" s="1361"/>
      <c r="HRK188" s="1360"/>
      <c r="HRL188" s="1925"/>
      <c r="HRM188" s="955"/>
      <c r="HRN188" s="963"/>
      <c r="HRO188" s="2242"/>
      <c r="HRP188" s="1360"/>
      <c r="HRQ188" s="955"/>
      <c r="HRR188" s="1361"/>
      <c r="HRS188" s="1360"/>
      <c r="HRT188" s="1925"/>
      <c r="HRU188" s="955"/>
      <c r="HRV188" s="963"/>
      <c r="HRW188" s="2242"/>
      <c r="HRX188" s="1360"/>
      <c r="HRY188" s="955"/>
      <c r="HRZ188" s="1361"/>
      <c r="HSA188" s="1360"/>
      <c r="HSB188" s="1925"/>
      <c r="HSC188" s="955"/>
      <c r="HSD188" s="963"/>
      <c r="HSE188" s="2242"/>
      <c r="HSF188" s="1360"/>
      <c r="HSG188" s="955"/>
      <c r="HSH188" s="1361"/>
      <c r="HSI188" s="1360"/>
      <c r="HSJ188" s="1925"/>
      <c r="HSK188" s="955"/>
      <c r="HSL188" s="963"/>
      <c r="HSM188" s="2242"/>
      <c r="HSN188" s="1360"/>
      <c r="HSO188" s="955"/>
      <c r="HSP188" s="1361"/>
      <c r="HSQ188" s="1360"/>
      <c r="HSR188" s="1925"/>
      <c r="HSS188" s="955"/>
      <c r="HST188" s="963"/>
      <c r="HSU188" s="2242"/>
      <c r="HSV188" s="1360"/>
      <c r="HSW188" s="955"/>
      <c r="HSX188" s="1361"/>
      <c r="HSY188" s="1360"/>
      <c r="HSZ188" s="1925"/>
      <c r="HTA188" s="955"/>
      <c r="HTB188" s="963"/>
      <c r="HTC188" s="2242"/>
      <c r="HTD188" s="1360"/>
      <c r="HTE188" s="955"/>
      <c r="HTF188" s="1361"/>
      <c r="HTG188" s="1360"/>
      <c r="HTH188" s="1925"/>
      <c r="HTI188" s="955"/>
      <c r="HTJ188" s="963"/>
      <c r="HTK188" s="2242"/>
      <c r="HTL188" s="1360"/>
      <c r="HTM188" s="955"/>
      <c r="HTN188" s="1361"/>
      <c r="HTO188" s="1360"/>
      <c r="HTP188" s="1925"/>
      <c r="HTQ188" s="955"/>
      <c r="HTR188" s="963"/>
      <c r="HTS188" s="2242"/>
      <c r="HTT188" s="1360"/>
      <c r="HTU188" s="955"/>
      <c r="HTV188" s="1361"/>
      <c r="HTW188" s="1360"/>
      <c r="HTX188" s="1925"/>
      <c r="HTY188" s="955"/>
      <c r="HTZ188" s="963"/>
      <c r="HUA188" s="2242"/>
      <c r="HUB188" s="1360"/>
      <c r="HUC188" s="955"/>
      <c r="HUD188" s="1361"/>
      <c r="HUE188" s="1360"/>
      <c r="HUF188" s="1925"/>
      <c r="HUG188" s="955"/>
      <c r="HUH188" s="963"/>
      <c r="HUI188" s="2242"/>
      <c r="HUJ188" s="1360"/>
      <c r="HUK188" s="955"/>
      <c r="HUL188" s="1361"/>
      <c r="HUM188" s="1360"/>
      <c r="HUN188" s="1925"/>
      <c r="HUO188" s="955"/>
      <c r="HUP188" s="963"/>
      <c r="HUQ188" s="2242"/>
      <c r="HUR188" s="1360"/>
      <c r="HUS188" s="955"/>
      <c r="HUT188" s="1361"/>
      <c r="HUU188" s="1360"/>
      <c r="HUV188" s="1925"/>
      <c r="HUW188" s="955"/>
      <c r="HUX188" s="963"/>
      <c r="HUY188" s="2242"/>
      <c r="HUZ188" s="1360"/>
      <c r="HVA188" s="955"/>
      <c r="HVB188" s="1361"/>
      <c r="HVC188" s="1360"/>
      <c r="HVD188" s="1925"/>
      <c r="HVE188" s="955"/>
      <c r="HVF188" s="963"/>
      <c r="HVG188" s="2242"/>
      <c r="HVH188" s="1360"/>
      <c r="HVI188" s="955"/>
      <c r="HVJ188" s="1361"/>
      <c r="HVK188" s="1360"/>
      <c r="HVL188" s="1925"/>
      <c r="HVM188" s="955"/>
      <c r="HVN188" s="963"/>
      <c r="HVO188" s="2242"/>
      <c r="HVP188" s="1360"/>
      <c r="HVQ188" s="955"/>
      <c r="HVR188" s="1361"/>
      <c r="HVS188" s="1360"/>
      <c r="HVT188" s="1925"/>
      <c r="HVU188" s="955"/>
      <c r="HVV188" s="963"/>
      <c r="HVW188" s="2242"/>
      <c r="HVX188" s="1360"/>
      <c r="HVY188" s="955"/>
      <c r="HVZ188" s="1361"/>
      <c r="HWA188" s="1360"/>
      <c r="HWB188" s="1925"/>
      <c r="HWC188" s="955"/>
      <c r="HWD188" s="963"/>
      <c r="HWE188" s="2242"/>
      <c r="HWF188" s="1360"/>
      <c r="HWG188" s="955"/>
      <c r="HWH188" s="1361"/>
      <c r="HWI188" s="1360"/>
      <c r="HWJ188" s="1925"/>
      <c r="HWK188" s="955"/>
      <c r="HWL188" s="963"/>
      <c r="HWM188" s="2242"/>
      <c r="HWN188" s="1360"/>
      <c r="HWO188" s="955"/>
      <c r="HWP188" s="1361"/>
      <c r="HWQ188" s="1360"/>
      <c r="HWR188" s="1925"/>
      <c r="HWS188" s="955"/>
      <c r="HWT188" s="963"/>
      <c r="HWU188" s="2242"/>
      <c r="HWV188" s="1360"/>
      <c r="HWW188" s="955"/>
      <c r="HWX188" s="1361"/>
      <c r="HWY188" s="1360"/>
      <c r="HWZ188" s="1925"/>
      <c r="HXA188" s="955"/>
      <c r="HXB188" s="963"/>
      <c r="HXC188" s="2242"/>
      <c r="HXD188" s="1360"/>
      <c r="HXE188" s="955"/>
      <c r="HXF188" s="1361"/>
      <c r="HXG188" s="1360"/>
      <c r="HXH188" s="1925"/>
      <c r="HXI188" s="955"/>
      <c r="HXJ188" s="963"/>
      <c r="HXK188" s="2242"/>
      <c r="HXL188" s="1360"/>
      <c r="HXM188" s="955"/>
      <c r="HXN188" s="1361"/>
      <c r="HXO188" s="1360"/>
      <c r="HXP188" s="1925"/>
      <c r="HXQ188" s="955"/>
      <c r="HXR188" s="963"/>
      <c r="HXS188" s="2242"/>
      <c r="HXT188" s="1360"/>
      <c r="HXU188" s="955"/>
      <c r="HXV188" s="1361"/>
      <c r="HXW188" s="1360"/>
      <c r="HXX188" s="1925"/>
      <c r="HXY188" s="955"/>
      <c r="HXZ188" s="963"/>
      <c r="HYA188" s="2242"/>
      <c r="HYB188" s="1360"/>
      <c r="HYC188" s="955"/>
      <c r="HYD188" s="1361"/>
      <c r="HYE188" s="1360"/>
      <c r="HYF188" s="1925"/>
      <c r="HYG188" s="955"/>
      <c r="HYH188" s="963"/>
      <c r="HYI188" s="2242"/>
      <c r="HYJ188" s="1360"/>
      <c r="HYK188" s="955"/>
      <c r="HYL188" s="1361"/>
      <c r="HYM188" s="1360"/>
      <c r="HYN188" s="1925"/>
      <c r="HYO188" s="955"/>
      <c r="HYP188" s="963"/>
      <c r="HYQ188" s="2242"/>
      <c r="HYR188" s="1360"/>
      <c r="HYS188" s="955"/>
      <c r="HYT188" s="1361"/>
      <c r="HYU188" s="1360"/>
      <c r="HYV188" s="1925"/>
      <c r="HYW188" s="955"/>
      <c r="HYX188" s="963"/>
      <c r="HYY188" s="2242"/>
      <c r="HYZ188" s="1360"/>
      <c r="HZA188" s="955"/>
      <c r="HZB188" s="1361"/>
      <c r="HZC188" s="1360"/>
      <c r="HZD188" s="1925"/>
      <c r="HZE188" s="955"/>
      <c r="HZF188" s="963"/>
      <c r="HZG188" s="2242"/>
      <c r="HZH188" s="1360"/>
      <c r="HZI188" s="955"/>
      <c r="HZJ188" s="1361"/>
      <c r="HZK188" s="1360"/>
      <c r="HZL188" s="1925"/>
      <c r="HZM188" s="955"/>
      <c r="HZN188" s="963"/>
      <c r="HZO188" s="2242"/>
      <c r="HZP188" s="1360"/>
      <c r="HZQ188" s="955"/>
      <c r="HZR188" s="1361"/>
      <c r="HZS188" s="1360"/>
      <c r="HZT188" s="1925"/>
      <c r="HZU188" s="955"/>
      <c r="HZV188" s="963"/>
      <c r="HZW188" s="2242"/>
      <c r="HZX188" s="1360"/>
      <c r="HZY188" s="955"/>
      <c r="HZZ188" s="1361"/>
      <c r="IAA188" s="1360"/>
      <c r="IAB188" s="1925"/>
      <c r="IAC188" s="955"/>
      <c r="IAD188" s="963"/>
      <c r="IAE188" s="2242"/>
      <c r="IAF188" s="1360"/>
      <c r="IAG188" s="955"/>
      <c r="IAH188" s="1361"/>
      <c r="IAI188" s="1360"/>
      <c r="IAJ188" s="1925"/>
      <c r="IAK188" s="955"/>
      <c r="IAL188" s="963"/>
      <c r="IAM188" s="2242"/>
      <c r="IAN188" s="1360"/>
      <c r="IAO188" s="955"/>
      <c r="IAP188" s="1361"/>
      <c r="IAQ188" s="1360"/>
      <c r="IAR188" s="1925"/>
      <c r="IAS188" s="955"/>
      <c r="IAT188" s="963"/>
      <c r="IAU188" s="2242"/>
      <c r="IAV188" s="1360"/>
      <c r="IAW188" s="955"/>
      <c r="IAX188" s="1361"/>
      <c r="IAY188" s="1360"/>
      <c r="IAZ188" s="1925"/>
      <c r="IBA188" s="955"/>
      <c r="IBB188" s="963"/>
      <c r="IBC188" s="2242"/>
      <c r="IBD188" s="1360"/>
      <c r="IBE188" s="955"/>
      <c r="IBF188" s="1361"/>
      <c r="IBG188" s="1360"/>
      <c r="IBH188" s="1925"/>
      <c r="IBI188" s="955"/>
      <c r="IBJ188" s="963"/>
      <c r="IBK188" s="2242"/>
      <c r="IBL188" s="1360"/>
      <c r="IBM188" s="955"/>
      <c r="IBN188" s="1361"/>
      <c r="IBO188" s="1360"/>
      <c r="IBP188" s="1925"/>
      <c r="IBQ188" s="955"/>
      <c r="IBR188" s="963"/>
      <c r="IBS188" s="2242"/>
      <c r="IBT188" s="1360"/>
      <c r="IBU188" s="955"/>
      <c r="IBV188" s="1361"/>
      <c r="IBW188" s="1360"/>
      <c r="IBX188" s="1925"/>
      <c r="IBY188" s="955"/>
      <c r="IBZ188" s="963"/>
      <c r="ICA188" s="2242"/>
      <c r="ICB188" s="1360"/>
      <c r="ICC188" s="955"/>
      <c r="ICD188" s="1361"/>
      <c r="ICE188" s="1360"/>
      <c r="ICF188" s="1925"/>
      <c r="ICG188" s="955"/>
      <c r="ICH188" s="963"/>
      <c r="ICI188" s="2242"/>
      <c r="ICJ188" s="1360"/>
      <c r="ICK188" s="955"/>
      <c r="ICL188" s="1361"/>
      <c r="ICM188" s="1360"/>
      <c r="ICN188" s="1925"/>
      <c r="ICO188" s="955"/>
      <c r="ICP188" s="963"/>
      <c r="ICQ188" s="2242"/>
      <c r="ICR188" s="1360"/>
      <c r="ICS188" s="955"/>
      <c r="ICT188" s="1361"/>
      <c r="ICU188" s="1360"/>
      <c r="ICV188" s="1925"/>
      <c r="ICW188" s="955"/>
      <c r="ICX188" s="963"/>
      <c r="ICY188" s="2242"/>
      <c r="ICZ188" s="1360"/>
      <c r="IDA188" s="955"/>
      <c r="IDB188" s="1361"/>
      <c r="IDC188" s="1360"/>
      <c r="IDD188" s="1925"/>
      <c r="IDE188" s="955"/>
      <c r="IDF188" s="963"/>
      <c r="IDG188" s="2242"/>
      <c r="IDH188" s="1360"/>
      <c r="IDI188" s="955"/>
      <c r="IDJ188" s="1361"/>
      <c r="IDK188" s="1360"/>
      <c r="IDL188" s="1925"/>
      <c r="IDM188" s="955"/>
      <c r="IDN188" s="963"/>
      <c r="IDO188" s="2242"/>
      <c r="IDP188" s="1360"/>
      <c r="IDQ188" s="955"/>
      <c r="IDR188" s="1361"/>
      <c r="IDS188" s="1360"/>
      <c r="IDT188" s="1925"/>
      <c r="IDU188" s="955"/>
      <c r="IDV188" s="963"/>
      <c r="IDW188" s="2242"/>
      <c r="IDX188" s="1360"/>
      <c r="IDY188" s="955"/>
      <c r="IDZ188" s="1361"/>
      <c r="IEA188" s="1360"/>
      <c r="IEB188" s="1925"/>
      <c r="IEC188" s="955"/>
      <c r="IED188" s="963"/>
      <c r="IEE188" s="2242"/>
      <c r="IEF188" s="1360"/>
      <c r="IEG188" s="955"/>
      <c r="IEH188" s="1361"/>
      <c r="IEI188" s="1360"/>
      <c r="IEJ188" s="1925"/>
      <c r="IEK188" s="955"/>
      <c r="IEL188" s="963"/>
      <c r="IEM188" s="2242"/>
      <c r="IEN188" s="1360"/>
      <c r="IEO188" s="955"/>
      <c r="IEP188" s="1361"/>
      <c r="IEQ188" s="1360"/>
      <c r="IER188" s="1925"/>
      <c r="IES188" s="955"/>
      <c r="IET188" s="963"/>
      <c r="IEU188" s="2242"/>
      <c r="IEV188" s="1360"/>
      <c r="IEW188" s="955"/>
      <c r="IEX188" s="1361"/>
      <c r="IEY188" s="1360"/>
      <c r="IEZ188" s="1925"/>
      <c r="IFA188" s="955"/>
      <c r="IFB188" s="963"/>
      <c r="IFC188" s="2242"/>
      <c r="IFD188" s="1360"/>
      <c r="IFE188" s="955"/>
      <c r="IFF188" s="1361"/>
      <c r="IFG188" s="1360"/>
      <c r="IFH188" s="1925"/>
      <c r="IFI188" s="955"/>
      <c r="IFJ188" s="963"/>
      <c r="IFK188" s="2242"/>
      <c r="IFL188" s="1360"/>
      <c r="IFM188" s="955"/>
      <c r="IFN188" s="1361"/>
      <c r="IFO188" s="1360"/>
      <c r="IFP188" s="1925"/>
      <c r="IFQ188" s="955"/>
      <c r="IFR188" s="963"/>
      <c r="IFS188" s="2242"/>
      <c r="IFT188" s="1360"/>
      <c r="IFU188" s="955"/>
      <c r="IFV188" s="1361"/>
      <c r="IFW188" s="1360"/>
      <c r="IFX188" s="1925"/>
      <c r="IFY188" s="955"/>
      <c r="IFZ188" s="963"/>
      <c r="IGA188" s="2242"/>
      <c r="IGB188" s="1360"/>
      <c r="IGC188" s="955"/>
      <c r="IGD188" s="1361"/>
      <c r="IGE188" s="1360"/>
      <c r="IGF188" s="1925"/>
      <c r="IGG188" s="955"/>
      <c r="IGH188" s="963"/>
      <c r="IGI188" s="2242"/>
      <c r="IGJ188" s="1360"/>
      <c r="IGK188" s="955"/>
      <c r="IGL188" s="1361"/>
      <c r="IGM188" s="1360"/>
      <c r="IGN188" s="1925"/>
      <c r="IGO188" s="955"/>
      <c r="IGP188" s="963"/>
      <c r="IGQ188" s="2242"/>
      <c r="IGR188" s="1360"/>
      <c r="IGS188" s="955"/>
      <c r="IGT188" s="1361"/>
      <c r="IGU188" s="1360"/>
      <c r="IGV188" s="1925"/>
      <c r="IGW188" s="955"/>
      <c r="IGX188" s="963"/>
      <c r="IGY188" s="2242"/>
      <c r="IGZ188" s="1360"/>
      <c r="IHA188" s="955"/>
      <c r="IHB188" s="1361"/>
      <c r="IHC188" s="1360"/>
      <c r="IHD188" s="1925"/>
      <c r="IHE188" s="955"/>
      <c r="IHF188" s="963"/>
      <c r="IHG188" s="2242"/>
      <c r="IHH188" s="1360"/>
      <c r="IHI188" s="955"/>
      <c r="IHJ188" s="1361"/>
      <c r="IHK188" s="1360"/>
      <c r="IHL188" s="1925"/>
      <c r="IHM188" s="955"/>
      <c r="IHN188" s="963"/>
      <c r="IHO188" s="2242"/>
      <c r="IHP188" s="1360"/>
      <c r="IHQ188" s="955"/>
      <c r="IHR188" s="1361"/>
      <c r="IHS188" s="1360"/>
      <c r="IHT188" s="1925"/>
      <c r="IHU188" s="955"/>
      <c r="IHV188" s="963"/>
      <c r="IHW188" s="2242"/>
      <c r="IHX188" s="1360"/>
      <c r="IHY188" s="955"/>
      <c r="IHZ188" s="1361"/>
      <c r="IIA188" s="1360"/>
      <c r="IIB188" s="1925"/>
      <c r="IIC188" s="955"/>
      <c r="IID188" s="963"/>
      <c r="IIE188" s="2242"/>
      <c r="IIF188" s="1360"/>
      <c r="IIG188" s="955"/>
      <c r="IIH188" s="1361"/>
      <c r="III188" s="1360"/>
      <c r="IIJ188" s="1925"/>
      <c r="IIK188" s="955"/>
      <c r="IIL188" s="963"/>
      <c r="IIM188" s="2242"/>
      <c r="IIN188" s="1360"/>
      <c r="IIO188" s="955"/>
      <c r="IIP188" s="1361"/>
      <c r="IIQ188" s="1360"/>
      <c r="IIR188" s="1925"/>
      <c r="IIS188" s="955"/>
      <c r="IIT188" s="963"/>
      <c r="IIU188" s="2242"/>
      <c r="IIV188" s="1360"/>
      <c r="IIW188" s="955"/>
      <c r="IIX188" s="1361"/>
      <c r="IIY188" s="1360"/>
      <c r="IIZ188" s="1925"/>
      <c r="IJA188" s="955"/>
      <c r="IJB188" s="963"/>
      <c r="IJC188" s="2242"/>
      <c r="IJD188" s="1360"/>
      <c r="IJE188" s="955"/>
      <c r="IJF188" s="1361"/>
      <c r="IJG188" s="1360"/>
      <c r="IJH188" s="1925"/>
      <c r="IJI188" s="955"/>
      <c r="IJJ188" s="963"/>
      <c r="IJK188" s="2242"/>
      <c r="IJL188" s="1360"/>
      <c r="IJM188" s="955"/>
      <c r="IJN188" s="1361"/>
      <c r="IJO188" s="1360"/>
      <c r="IJP188" s="1925"/>
      <c r="IJQ188" s="955"/>
      <c r="IJR188" s="963"/>
      <c r="IJS188" s="2242"/>
      <c r="IJT188" s="1360"/>
      <c r="IJU188" s="955"/>
      <c r="IJV188" s="1361"/>
      <c r="IJW188" s="1360"/>
      <c r="IJX188" s="1925"/>
      <c r="IJY188" s="955"/>
      <c r="IJZ188" s="963"/>
      <c r="IKA188" s="2242"/>
      <c r="IKB188" s="1360"/>
      <c r="IKC188" s="955"/>
      <c r="IKD188" s="1361"/>
      <c r="IKE188" s="1360"/>
      <c r="IKF188" s="1925"/>
      <c r="IKG188" s="955"/>
      <c r="IKH188" s="963"/>
      <c r="IKI188" s="2242"/>
      <c r="IKJ188" s="1360"/>
      <c r="IKK188" s="955"/>
      <c r="IKL188" s="1361"/>
      <c r="IKM188" s="1360"/>
      <c r="IKN188" s="1925"/>
      <c r="IKO188" s="955"/>
      <c r="IKP188" s="963"/>
      <c r="IKQ188" s="2242"/>
      <c r="IKR188" s="1360"/>
      <c r="IKS188" s="955"/>
      <c r="IKT188" s="1361"/>
      <c r="IKU188" s="1360"/>
      <c r="IKV188" s="1925"/>
      <c r="IKW188" s="955"/>
      <c r="IKX188" s="963"/>
      <c r="IKY188" s="2242"/>
      <c r="IKZ188" s="1360"/>
      <c r="ILA188" s="955"/>
      <c r="ILB188" s="1361"/>
      <c r="ILC188" s="1360"/>
      <c r="ILD188" s="1925"/>
      <c r="ILE188" s="955"/>
      <c r="ILF188" s="963"/>
      <c r="ILG188" s="2242"/>
      <c r="ILH188" s="1360"/>
      <c r="ILI188" s="955"/>
      <c r="ILJ188" s="1361"/>
      <c r="ILK188" s="1360"/>
      <c r="ILL188" s="1925"/>
      <c r="ILM188" s="955"/>
      <c r="ILN188" s="963"/>
      <c r="ILO188" s="2242"/>
      <c r="ILP188" s="1360"/>
      <c r="ILQ188" s="955"/>
      <c r="ILR188" s="1361"/>
      <c r="ILS188" s="1360"/>
      <c r="ILT188" s="1925"/>
      <c r="ILU188" s="955"/>
      <c r="ILV188" s="963"/>
      <c r="ILW188" s="2242"/>
      <c r="ILX188" s="1360"/>
      <c r="ILY188" s="955"/>
      <c r="ILZ188" s="1361"/>
      <c r="IMA188" s="1360"/>
      <c r="IMB188" s="1925"/>
      <c r="IMC188" s="955"/>
      <c r="IMD188" s="963"/>
      <c r="IME188" s="2242"/>
      <c r="IMF188" s="1360"/>
      <c r="IMG188" s="955"/>
      <c r="IMH188" s="1361"/>
      <c r="IMI188" s="1360"/>
      <c r="IMJ188" s="1925"/>
      <c r="IMK188" s="955"/>
      <c r="IML188" s="963"/>
      <c r="IMM188" s="2242"/>
      <c r="IMN188" s="1360"/>
      <c r="IMO188" s="955"/>
      <c r="IMP188" s="1361"/>
      <c r="IMQ188" s="1360"/>
      <c r="IMR188" s="1925"/>
      <c r="IMS188" s="955"/>
      <c r="IMT188" s="963"/>
      <c r="IMU188" s="2242"/>
      <c r="IMV188" s="1360"/>
      <c r="IMW188" s="955"/>
      <c r="IMX188" s="1361"/>
      <c r="IMY188" s="1360"/>
      <c r="IMZ188" s="1925"/>
      <c r="INA188" s="955"/>
      <c r="INB188" s="963"/>
      <c r="INC188" s="2242"/>
      <c r="IND188" s="1360"/>
      <c r="INE188" s="955"/>
      <c r="INF188" s="1361"/>
      <c r="ING188" s="1360"/>
      <c r="INH188" s="1925"/>
      <c r="INI188" s="955"/>
      <c r="INJ188" s="963"/>
      <c r="INK188" s="2242"/>
      <c r="INL188" s="1360"/>
      <c r="INM188" s="955"/>
      <c r="INN188" s="1361"/>
      <c r="INO188" s="1360"/>
      <c r="INP188" s="1925"/>
      <c r="INQ188" s="955"/>
      <c r="INR188" s="963"/>
      <c r="INS188" s="2242"/>
      <c r="INT188" s="1360"/>
      <c r="INU188" s="955"/>
      <c r="INV188" s="1361"/>
      <c r="INW188" s="1360"/>
      <c r="INX188" s="1925"/>
      <c r="INY188" s="955"/>
      <c r="INZ188" s="963"/>
      <c r="IOA188" s="2242"/>
      <c r="IOB188" s="1360"/>
      <c r="IOC188" s="955"/>
      <c r="IOD188" s="1361"/>
      <c r="IOE188" s="1360"/>
      <c r="IOF188" s="1925"/>
      <c r="IOG188" s="955"/>
      <c r="IOH188" s="963"/>
      <c r="IOI188" s="2242"/>
      <c r="IOJ188" s="1360"/>
      <c r="IOK188" s="955"/>
      <c r="IOL188" s="1361"/>
      <c r="IOM188" s="1360"/>
      <c r="ION188" s="1925"/>
      <c r="IOO188" s="955"/>
      <c r="IOP188" s="963"/>
      <c r="IOQ188" s="2242"/>
      <c r="IOR188" s="1360"/>
      <c r="IOS188" s="955"/>
      <c r="IOT188" s="1361"/>
      <c r="IOU188" s="1360"/>
      <c r="IOV188" s="1925"/>
      <c r="IOW188" s="955"/>
      <c r="IOX188" s="963"/>
      <c r="IOY188" s="2242"/>
      <c r="IOZ188" s="1360"/>
      <c r="IPA188" s="955"/>
      <c r="IPB188" s="1361"/>
      <c r="IPC188" s="1360"/>
      <c r="IPD188" s="1925"/>
      <c r="IPE188" s="955"/>
      <c r="IPF188" s="963"/>
      <c r="IPG188" s="2242"/>
      <c r="IPH188" s="1360"/>
      <c r="IPI188" s="955"/>
      <c r="IPJ188" s="1361"/>
      <c r="IPK188" s="1360"/>
      <c r="IPL188" s="1925"/>
      <c r="IPM188" s="955"/>
      <c r="IPN188" s="963"/>
      <c r="IPO188" s="2242"/>
      <c r="IPP188" s="1360"/>
      <c r="IPQ188" s="955"/>
      <c r="IPR188" s="1361"/>
      <c r="IPS188" s="1360"/>
      <c r="IPT188" s="1925"/>
      <c r="IPU188" s="955"/>
      <c r="IPV188" s="963"/>
      <c r="IPW188" s="2242"/>
      <c r="IPX188" s="1360"/>
      <c r="IPY188" s="955"/>
      <c r="IPZ188" s="1361"/>
      <c r="IQA188" s="1360"/>
      <c r="IQB188" s="1925"/>
      <c r="IQC188" s="955"/>
      <c r="IQD188" s="963"/>
      <c r="IQE188" s="2242"/>
      <c r="IQF188" s="1360"/>
      <c r="IQG188" s="955"/>
      <c r="IQH188" s="1361"/>
      <c r="IQI188" s="1360"/>
      <c r="IQJ188" s="1925"/>
      <c r="IQK188" s="955"/>
      <c r="IQL188" s="963"/>
      <c r="IQM188" s="2242"/>
      <c r="IQN188" s="1360"/>
      <c r="IQO188" s="955"/>
      <c r="IQP188" s="1361"/>
      <c r="IQQ188" s="1360"/>
      <c r="IQR188" s="1925"/>
      <c r="IQS188" s="955"/>
      <c r="IQT188" s="963"/>
      <c r="IQU188" s="2242"/>
      <c r="IQV188" s="1360"/>
      <c r="IQW188" s="955"/>
      <c r="IQX188" s="1361"/>
      <c r="IQY188" s="1360"/>
      <c r="IQZ188" s="1925"/>
      <c r="IRA188" s="955"/>
      <c r="IRB188" s="963"/>
      <c r="IRC188" s="2242"/>
      <c r="IRD188" s="1360"/>
      <c r="IRE188" s="955"/>
      <c r="IRF188" s="1361"/>
      <c r="IRG188" s="1360"/>
      <c r="IRH188" s="1925"/>
      <c r="IRI188" s="955"/>
      <c r="IRJ188" s="963"/>
      <c r="IRK188" s="2242"/>
      <c r="IRL188" s="1360"/>
      <c r="IRM188" s="955"/>
      <c r="IRN188" s="1361"/>
      <c r="IRO188" s="1360"/>
      <c r="IRP188" s="1925"/>
      <c r="IRQ188" s="955"/>
      <c r="IRR188" s="963"/>
      <c r="IRS188" s="2242"/>
      <c r="IRT188" s="1360"/>
      <c r="IRU188" s="955"/>
      <c r="IRV188" s="1361"/>
      <c r="IRW188" s="1360"/>
      <c r="IRX188" s="1925"/>
      <c r="IRY188" s="955"/>
      <c r="IRZ188" s="963"/>
      <c r="ISA188" s="2242"/>
      <c r="ISB188" s="1360"/>
      <c r="ISC188" s="955"/>
      <c r="ISD188" s="1361"/>
      <c r="ISE188" s="1360"/>
      <c r="ISF188" s="1925"/>
      <c r="ISG188" s="955"/>
      <c r="ISH188" s="963"/>
      <c r="ISI188" s="2242"/>
      <c r="ISJ188" s="1360"/>
      <c r="ISK188" s="955"/>
      <c r="ISL188" s="1361"/>
      <c r="ISM188" s="1360"/>
      <c r="ISN188" s="1925"/>
      <c r="ISO188" s="955"/>
      <c r="ISP188" s="963"/>
      <c r="ISQ188" s="2242"/>
      <c r="ISR188" s="1360"/>
      <c r="ISS188" s="955"/>
      <c r="IST188" s="1361"/>
      <c r="ISU188" s="1360"/>
      <c r="ISV188" s="1925"/>
      <c r="ISW188" s="955"/>
      <c r="ISX188" s="963"/>
      <c r="ISY188" s="2242"/>
      <c r="ISZ188" s="1360"/>
      <c r="ITA188" s="955"/>
      <c r="ITB188" s="1361"/>
      <c r="ITC188" s="1360"/>
      <c r="ITD188" s="1925"/>
      <c r="ITE188" s="955"/>
      <c r="ITF188" s="963"/>
      <c r="ITG188" s="2242"/>
      <c r="ITH188" s="1360"/>
      <c r="ITI188" s="955"/>
      <c r="ITJ188" s="1361"/>
      <c r="ITK188" s="1360"/>
      <c r="ITL188" s="1925"/>
      <c r="ITM188" s="955"/>
      <c r="ITN188" s="963"/>
      <c r="ITO188" s="2242"/>
      <c r="ITP188" s="1360"/>
      <c r="ITQ188" s="955"/>
      <c r="ITR188" s="1361"/>
      <c r="ITS188" s="1360"/>
      <c r="ITT188" s="1925"/>
      <c r="ITU188" s="955"/>
      <c r="ITV188" s="963"/>
      <c r="ITW188" s="2242"/>
      <c r="ITX188" s="1360"/>
      <c r="ITY188" s="955"/>
      <c r="ITZ188" s="1361"/>
      <c r="IUA188" s="1360"/>
      <c r="IUB188" s="1925"/>
      <c r="IUC188" s="955"/>
      <c r="IUD188" s="963"/>
      <c r="IUE188" s="2242"/>
      <c r="IUF188" s="1360"/>
      <c r="IUG188" s="955"/>
      <c r="IUH188" s="1361"/>
      <c r="IUI188" s="1360"/>
      <c r="IUJ188" s="1925"/>
      <c r="IUK188" s="955"/>
      <c r="IUL188" s="963"/>
      <c r="IUM188" s="2242"/>
      <c r="IUN188" s="1360"/>
      <c r="IUO188" s="955"/>
      <c r="IUP188" s="1361"/>
      <c r="IUQ188" s="1360"/>
      <c r="IUR188" s="1925"/>
      <c r="IUS188" s="955"/>
      <c r="IUT188" s="963"/>
      <c r="IUU188" s="2242"/>
      <c r="IUV188" s="1360"/>
      <c r="IUW188" s="955"/>
      <c r="IUX188" s="1361"/>
      <c r="IUY188" s="1360"/>
      <c r="IUZ188" s="1925"/>
      <c r="IVA188" s="955"/>
      <c r="IVB188" s="963"/>
      <c r="IVC188" s="2242"/>
      <c r="IVD188" s="1360"/>
      <c r="IVE188" s="955"/>
      <c r="IVF188" s="1361"/>
      <c r="IVG188" s="1360"/>
      <c r="IVH188" s="1925"/>
      <c r="IVI188" s="955"/>
      <c r="IVJ188" s="963"/>
      <c r="IVK188" s="2242"/>
      <c r="IVL188" s="1360"/>
      <c r="IVM188" s="955"/>
      <c r="IVN188" s="1361"/>
      <c r="IVO188" s="1360"/>
      <c r="IVP188" s="1925"/>
      <c r="IVQ188" s="955"/>
      <c r="IVR188" s="963"/>
      <c r="IVS188" s="2242"/>
      <c r="IVT188" s="1360"/>
      <c r="IVU188" s="955"/>
      <c r="IVV188" s="1361"/>
      <c r="IVW188" s="1360"/>
      <c r="IVX188" s="1925"/>
      <c r="IVY188" s="955"/>
      <c r="IVZ188" s="963"/>
      <c r="IWA188" s="2242"/>
      <c r="IWB188" s="1360"/>
      <c r="IWC188" s="955"/>
      <c r="IWD188" s="1361"/>
      <c r="IWE188" s="1360"/>
      <c r="IWF188" s="1925"/>
      <c r="IWG188" s="955"/>
      <c r="IWH188" s="963"/>
      <c r="IWI188" s="2242"/>
      <c r="IWJ188" s="1360"/>
      <c r="IWK188" s="955"/>
      <c r="IWL188" s="1361"/>
      <c r="IWM188" s="1360"/>
      <c r="IWN188" s="1925"/>
      <c r="IWO188" s="955"/>
      <c r="IWP188" s="963"/>
      <c r="IWQ188" s="2242"/>
      <c r="IWR188" s="1360"/>
      <c r="IWS188" s="955"/>
      <c r="IWT188" s="1361"/>
      <c r="IWU188" s="1360"/>
      <c r="IWV188" s="1925"/>
      <c r="IWW188" s="955"/>
      <c r="IWX188" s="963"/>
      <c r="IWY188" s="2242"/>
      <c r="IWZ188" s="1360"/>
      <c r="IXA188" s="955"/>
      <c r="IXB188" s="1361"/>
      <c r="IXC188" s="1360"/>
      <c r="IXD188" s="1925"/>
      <c r="IXE188" s="955"/>
      <c r="IXF188" s="963"/>
      <c r="IXG188" s="2242"/>
      <c r="IXH188" s="1360"/>
      <c r="IXI188" s="955"/>
      <c r="IXJ188" s="1361"/>
      <c r="IXK188" s="1360"/>
      <c r="IXL188" s="1925"/>
      <c r="IXM188" s="955"/>
      <c r="IXN188" s="963"/>
      <c r="IXO188" s="2242"/>
      <c r="IXP188" s="1360"/>
      <c r="IXQ188" s="955"/>
      <c r="IXR188" s="1361"/>
      <c r="IXS188" s="1360"/>
      <c r="IXT188" s="1925"/>
      <c r="IXU188" s="955"/>
      <c r="IXV188" s="963"/>
      <c r="IXW188" s="2242"/>
      <c r="IXX188" s="1360"/>
      <c r="IXY188" s="955"/>
      <c r="IXZ188" s="1361"/>
      <c r="IYA188" s="1360"/>
      <c r="IYB188" s="1925"/>
      <c r="IYC188" s="955"/>
      <c r="IYD188" s="963"/>
      <c r="IYE188" s="2242"/>
      <c r="IYF188" s="1360"/>
      <c r="IYG188" s="955"/>
      <c r="IYH188" s="1361"/>
      <c r="IYI188" s="1360"/>
      <c r="IYJ188" s="1925"/>
      <c r="IYK188" s="955"/>
      <c r="IYL188" s="963"/>
      <c r="IYM188" s="2242"/>
      <c r="IYN188" s="1360"/>
      <c r="IYO188" s="955"/>
      <c r="IYP188" s="1361"/>
      <c r="IYQ188" s="1360"/>
      <c r="IYR188" s="1925"/>
      <c r="IYS188" s="955"/>
      <c r="IYT188" s="963"/>
      <c r="IYU188" s="2242"/>
      <c r="IYV188" s="1360"/>
      <c r="IYW188" s="955"/>
      <c r="IYX188" s="1361"/>
      <c r="IYY188" s="1360"/>
      <c r="IYZ188" s="1925"/>
      <c r="IZA188" s="955"/>
      <c r="IZB188" s="963"/>
      <c r="IZC188" s="2242"/>
      <c r="IZD188" s="1360"/>
      <c r="IZE188" s="955"/>
      <c r="IZF188" s="1361"/>
      <c r="IZG188" s="1360"/>
      <c r="IZH188" s="1925"/>
      <c r="IZI188" s="955"/>
      <c r="IZJ188" s="963"/>
      <c r="IZK188" s="2242"/>
      <c r="IZL188" s="1360"/>
      <c r="IZM188" s="955"/>
      <c r="IZN188" s="1361"/>
      <c r="IZO188" s="1360"/>
      <c r="IZP188" s="1925"/>
      <c r="IZQ188" s="955"/>
      <c r="IZR188" s="963"/>
      <c r="IZS188" s="2242"/>
      <c r="IZT188" s="1360"/>
      <c r="IZU188" s="955"/>
      <c r="IZV188" s="1361"/>
      <c r="IZW188" s="1360"/>
      <c r="IZX188" s="1925"/>
      <c r="IZY188" s="955"/>
      <c r="IZZ188" s="963"/>
      <c r="JAA188" s="2242"/>
      <c r="JAB188" s="1360"/>
      <c r="JAC188" s="955"/>
      <c r="JAD188" s="1361"/>
      <c r="JAE188" s="1360"/>
      <c r="JAF188" s="1925"/>
      <c r="JAG188" s="955"/>
      <c r="JAH188" s="963"/>
      <c r="JAI188" s="2242"/>
      <c r="JAJ188" s="1360"/>
      <c r="JAK188" s="955"/>
      <c r="JAL188" s="1361"/>
      <c r="JAM188" s="1360"/>
      <c r="JAN188" s="1925"/>
      <c r="JAO188" s="955"/>
      <c r="JAP188" s="963"/>
      <c r="JAQ188" s="2242"/>
      <c r="JAR188" s="1360"/>
      <c r="JAS188" s="955"/>
      <c r="JAT188" s="1361"/>
      <c r="JAU188" s="1360"/>
      <c r="JAV188" s="1925"/>
      <c r="JAW188" s="955"/>
      <c r="JAX188" s="963"/>
      <c r="JAY188" s="2242"/>
      <c r="JAZ188" s="1360"/>
      <c r="JBA188" s="955"/>
      <c r="JBB188" s="1361"/>
      <c r="JBC188" s="1360"/>
      <c r="JBD188" s="1925"/>
      <c r="JBE188" s="955"/>
      <c r="JBF188" s="963"/>
      <c r="JBG188" s="2242"/>
      <c r="JBH188" s="1360"/>
      <c r="JBI188" s="955"/>
      <c r="JBJ188" s="1361"/>
      <c r="JBK188" s="1360"/>
      <c r="JBL188" s="1925"/>
      <c r="JBM188" s="955"/>
      <c r="JBN188" s="963"/>
      <c r="JBO188" s="2242"/>
      <c r="JBP188" s="1360"/>
      <c r="JBQ188" s="955"/>
      <c r="JBR188" s="1361"/>
      <c r="JBS188" s="1360"/>
      <c r="JBT188" s="1925"/>
      <c r="JBU188" s="955"/>
      <c r="JBV188" s="963"/>
      <c r="JBW188" s="2242"/>
      <c r="JBX188" s="1360"/>
      <c r="JBY188" s="955"/>
      <c r="JBZ188" s="1361"/>
      <c r="JCA188" s="1360"/>
      <c r="JCB188" s="1925"/>
      <c r="JCC188" s="955"/>
      <c r="JCD188" s="963"/>
      <c r="JCE188" s="2242"/>
      <c r="JCF188" s="1360"/>
      <c r="JCG188" s="955"/>
      <c r="JCH188" s="1361"/>
      <c r="JCI188" s="1360"/>
      <c r="JCJ188" s="1925"/>
      <c r="JCK188" s="955"/>
      <c r="JCL188" s="963"/>
      <c r="JCM188" s="2242"/>
      <c r="JCN188" s="1360"/>
      <c r="JCO188" s="955"/>
      <c r="JCP188" s="1361"/>
      <c r="JCQ188" s="1360"/>
      <c r="JCR188" s="1925"/>
      <c r="JCS188" s="955"/>
      <c r="JCT188" s="963"/>
      <c r="JCU188" s="2242"/>
      <c r="JCV188" s="1360"/>
      <c r="JCW188" s="955"/>
      <c r="JCX188" s="1361"/>
      <c r="JCY188" s="1360"/>
      <c r="JCZ188" s="1925"/>
      <c r="JDA188" s="955"/>
      <c r="JDB188" s="963"/>
      <c r="JDC188" s="2242"/>
      <c r="JDD188" s="1360"/>
      <c r="JDE188" s="955"/>
      <c r="JDF188" s="1361"/>
      <c r="JDG188" s="1360"/>
      <c r="JDH188" s="1925"/>
      <c r="JDI188" s="955"/>
      <c r="JDJ188" s="963"/>
      <c r="JDK188" s="2242"/>
      <c r="JDL188" s="1360"/>
      <c r="JDM188" s="955"/>
      <c r="JDN188" s="1361"/>
      <c r="JDO188" s="1360"/>
      <c r="JDP188" s="1925"/>
      <c r="JDQ188" s="955"/>
      <c r="JDR188" s="963"/>
      <c r="JDS188" s="2242"/>
      <c r="JDT188" s="1360"/>
      <c r="JDU188" s="955"/>
      <c r="JDV188" s="1361"/>
      <c r="JDW188" s="1360"/>
      <c r="JDX188" s="1925"/>
      <c r="JDY188" s="955"/>
      <c r="JDZ188" s="963"/>
      <c r="JEA188" s="2242"/>
      <c r="JEB188" s="1360"/>
      <c r="JEC188" s="955"/>
      <c r="JED188" s="1361"/>
      <c r="JEE188" s="1360"/>
      <c r="JEF188" s="1925"/>
      <c r="JEG188" s="955"/>
      <c r="JEH188" s="963"/>
      <c r="JEI188" s="2242"/>
      <c r="JEJ188" s="1360"/>
      <c r="JEK188" s="955"/>
      <c r="JEL188" s="1361"/>
      <c r="JEM188" s="1360"/>
      <c r="JEN188" s="1925"/>
      <c r="JEO188" s="955"/>
      <c r="JEP188" s="963"/>
      <c r="JEQ188" s="2242"/>
      <c r="JER188" s="1360"/>
      <c r="JES188" s="955"/>
      <c r="JET188" s="1361"/>
      <c r="JEU188" s="1360"/>
      <c r="JEV188" s="1925"/>
      <c r="JEW188" s="955"/>
      <c r="JEX188" s="963"/>
      <c r="JEY188" s="2242"/>
      <c r="JEZ188" s="1360"/>
      <c r="JFA188" s="955"/>
      <c r="JFB188" s="1361"/>
      <c r="JFC188" s="1360"/>
      <c r="JFD188" s="1925"/>
      <c r="JFE188" s="955"/>
      <c r="JFF188" s="963"/>
      <c r="JFG188" s="2242"/>
      <c r="JFH188" s="1360"/>
      <c r="JFI188" s="955"/>
      <c r="JFJ188" s="1361"/>
      <c r="JFK188" s="1360"/>
      <c r="JFL188" s="1925"/>
      <c r="JFM188" s="955"/>
      <c r="JFN188" s="963"/>
      <c r="JFO188" s="2242"/>
      <c r="JFP188" s="1360"/>
      <c r="JFQ188" s="955"/>
      <c r="JFR188" s="1361"/>
      <c r="JFS188" s="1360"/>
      <c r="JFT188" s="1925"/>
      <c r="JFU188" s="955"/>
      <c r="JFV188" s="963"/>
      <c r="JFW188" s="2242"/>
      <c r="JFX188" s="1360"/>
      <c r="JFY188" s="955"/>
      <c r="JFZ188" s="1361"/>
      <c r="JGA188" s="1360"/>
      <c r="JGB188" s="1925"/>
      <c r="JGC188" s="955"/>
      <c r="JGD188" s="963"/>
      <c r="JGE188" s="2242"/>
      <c r="JGF188" s="1360"/>
      <c r="JGG188" s="955"/>
      <c r="JGH188" s="1361"/>
      <c r="JGI188" s="1360"/>
      <c r="JGJ188" s="1925"/>
      <c r="JGK188" s="955"/>
      <c r="JGL188" s="963"/>
      <c r="JGM188" s="2242"/>
      <c r="JGN188" s="1360"/>
      <c r="JGO188" s="955"/>
      <c r="JGP188" s="1361"/>
      <c r="JGQ188" s="1360"/>
      <c r="JGR188" s="1925"/>
      <c r="JGS188" s="955"/>
      <c r="JGT188" s="963"/>
      <c r="JGU188" s="2242"/>
      <c r="JGV188" s="1360"/>
      <c r="JGW188" s="955"/>
      <c r="JGX188" s="1361"/>
      <c r="JGY188" s="1360"/>
      <c r="JGZ188" s="1925"/>
      <c r="JHA188" s="955"/>
      <c r="JHB188" s="963"/>
      <c r="JHC188" s="2242"/>
      <c r="JHD188" s="1360"/>
      <c r="JHE188" s="955"/>
      <c r="JHF188" s="1361"/>
      <c r="JHG188" s="1360"/>
      <c r="JHH188" s="1925"/>
      <c r="JHI188" s="955"/>
      <c r="JHJ188" s="963"/>
      <c r="JHK188" s="2242"/>
      <c r="JHL188" s="1360"/>
      <c r="JHM188" s="955"/>
      <c r="JHN188" s="1361"/>
      <c r="JHO188" s="1360"/>
      <c r="JHP188" s="1925"/>
      <c r="JHQ188" s="955"/>
      <c r="JHR188" s="963"/>
      <c r="JHS188" s="2242"/>
      <c r="JHT188" s="1360"/>
      <c r="JHU188" s="955"/>
      <c r="JHV188" s="1361"/>
      <c r="JHW188" s="1360"/>
      <c r="JHX188" s="1925"/>
      <c r="JHY188" s="955"/>
      <c r="JHZ188" s="963"/>
      <c r="JIA188" s="2242"/>
      <c r="JIB188" s="1360"/>
      <c r="JIC188" s="955"/>
      <c r="JID188" s="1361"/>
      <c r="JIE188" s="1360"/>
      <c r="JIF188" s="1925"/>
      <c r="JIG188" s="955"/>
      <c r="JIH188" s="963"/>
      <c r="JII188" s="2242"/>
      <c r="JIJ188" s="1360"/>
      <c r="JIK188" s="955"/>
      <c r="JIL188" s="1361"/>
      <c r="JIM188" s="1360"/>
      <c r="JIN188" s="1925"/>
      <c r="JIO188" s="955"/>
      <c r="JIP188" s="963"/>
      <c r="JIQ188" s="2242"/>
      <c r="JIR188" s="1360"/>
      <c r="JIS188" s="955"/>
      <c r="JIT188" s="1361"/>
      <c r="JIU188" s="1360"/>
      <c r="JIV188" s="1925"/>
      <c r="JIW188" s="955"/>
      <c r="JIX188" s="963"/>
      <c r="JIY188" s="2242"/>
      <c r="JIZ188" s="1360"/>
      <c r="JJA188" s="955"/>
      <c r="JJB188" s="1361"/>
      <c r="JJC188" s="1360"/>
      <c r="JJD188" s="1925"/>
      <c r="JJE188" s="955"/>
      <c r="JJF188" s="963"/>
      <c r="JJG188" s="2242"/>
      <c r="JJH188" s="1360"/>
      <c r="JJI188" s="955"/>
      <c r="JJJ188" s="1361"/>
      <c r="JJK188" s="1360"/>
      <c r="JJL188" s="1925"/>
      <c r="JJM188" s="955"/>
      <c r="JJN188" s="963"/>
      <c r="JJO188" s="2242"/>
      <c r="JJP188" s="1360"/>
      <c r="JJQ188" s="955"/>
      <c r="JJR188" s="1361"/>
      <c r="JJS188" s="1360"/>
      <c r="JJT188" s="1925"/>
      <c r="JJU188" s="955"/>
      <c r="JJV188" s="963"/>
      <c r="JJW188" s="2242"/>
      <c r="JJX188" s="1360"/>
      <c r="JJY188" s="955"/>
      <c r="JJZ188" s="1361"/>
      <c r="JKA188" s="1360"/>
      <c r="JKB188" s="1925"/>
      <c r="JKC188" s="955"/>
      <c r="JKD188" s="963"/>
      <c r="JKE188" s="2242"/>
      <c r="JKF188" s="1360"/>
      <c r="JKG188" s="955"/>
      <c r="JKH188" s="1361"/>
      <c r="JKI188" s="1360"/>
      <c r="JKJ188" s="1925"/>
      <c r="JKK188" s="955"/>
      <c r="JKL188" s="963"/>
      <c r="JKM188" s="2242"/>
      <c r="JKN188" s="1360"/>
      <c r="JKO188" s="955"/>
      <c r="JKP188" s="1361"/>
      <c r="JKQ188" s="1360"/>
      <c r="JKR188" s="1925"/>
      <c r="JKS188" s="955"/>
      <c r="JKT188" s="963"/>
      <c r="JKU188" s="2242"/>
      <c r="JKV188" s="1360"/>
      <c r="JKW188" s="955"/>
      <c r="JKX188" s="1361"/>
      <c r="JKY188" s="1360"/>
      <c r="JKZ188" s="1925"/>
      <c r="JLA188" s="955"/>
      <c r="JLB188" s="963"/>
      <c r="JLC188" s="2242"/>
      <c r="JLD188" s="1360"/>
      <c r="JLE188" s="955"/>
      <c r="JLF188" s="1361"/>
      <c r="JLG188" s="1360"/>
      <c r="JLH188" s="1925"/>
      <c r="JLI188" s="955"/>
      <c r="JLJ188" s="963"/>
      <c r="JLK188" s="2242"/>
      <c r="JLL188" s="1360"/>
      <c r="JLM188" s="955"/>
      <c r="JLN188" s="1361"/>
      <c r="JLO188" s="1360"/>
      <c r="JLP188" s="1925"/>
      <c r="JLQ188" s="955"/>
      <c r="JLR188" s="963"/>
      <c r="JLS188" s="2242"/>
      <c r="JLT188" s="1360"/>
      <c r="JLU188" s="955"/>
      <c r="JLV188" s="1361"/>
      <c r="JLW188" s="1360"/>
      <c r="JLX188" s="1925"/>
      <c r="JLY188" s="955"/>
      <c r="JLZ188" s="963"/>
      <c r="JMA188" s="2242"/>
      <c r="JMB188" s="1360"/>
      <c r="JMC188" s="955"/>
      <c r="JMD188" s="1361"/>
      <c r="JME188" s="1360"/>
      <c r="JMF188" s="1925"/>
      <c r="JMG188" s="955"/>
      <c r="JMH188" s="963"/>
      <c r="JMI188" s="2242"/>
      <c r="JMJ188" s="1360"/>
      <c r="JMK188" s="955"/>
      <c r="JML188" s="1361"/>
      <c r="JMM188" s="1360"/>
      <c r="JMN188" s="1925"/>
      <c r="JMO188" s="955"/>
      <c r="JMP188" s="963"/>
      <c r="JMQ188" s="2242"/>
      <c r="JMR188" s="1360"/>
      <c r="JMS188" s="955"/>
      <c r="JMT188" s="1361"/>
      <c r="JMU188" s="1360"/>
      <c r="JMV188" s="1925"/>
      <c r="JMW188" s="955"/>
      <c r="JMX188" s="963"/>
      <c r="JMY188" s="2242"/>
      <c r="JMZ188" s="1360"/>
      <c r="JNA188" s="955"/>
      <c r="JNB188" s="1361"/>
      <c r="JNC188" s="1360"/>
      <c r="JND188" s="1925"/>
      <c r="JNE188" s="955"/>
      <c r="JNF188" s="963"/>
      <c r="JNG188" s="2242"/>
      <c r="JNH188" s="1360"/>
      <c r="JNI188" s="955"/>
      <c r="JNJ188" s="1361"/>
      <c r="JNK188" s="1360"/>
      <c r="JNL188" s="1925"/>
      <c r="JNM188" s="955"/>
      <c r="JNN188" s="963"/>
      <c r="JNO188" s="2242"/>
      <c r="JNP188" s="1360"/>
      <c r="JNQ188" s="955"/>
      <c r="JNR188" s="1361"/>
      <c r="JNS188" s="1360"/>
      <c r="JNT188" s="1925"/>
      <c r="JNU188" s="955"/>
      <c r="JNV188" s="963"/>
      <c r="JNW188" s="2242"/>
      <c r="JNX188" s="1360"/>
      <c r="JNY188" s="955"/>
      <c r="JNZ188" s="1361"/>
      <c r="JOA188" s="1360"/>
      <c r="JOB188" s="1925"/>
      <c r="JOC188" s="955"/>
      <c r="JOD188" s="963"/>
      <c r="JOE188" s="2242"/>
      <c r="JOF188" s="1360"/>
      <c r="JOG188" s="955"/>
      <c r="JOH188" s="1361"/>
      <c r="JOI188" s="1360"/>
      <c r="JOJ188" s="1925"/>
      <c r="JOK188" s="955"/>
      <c r="JOL188" s="963"/>
      <c r="JOM188" s="2242"/>
      <c r="JON188" s="1360"/>
      <c r="JOO188" s="955"/>
      <c r="JOP188" s="1361"/>
      <c r="JOQ188" s="1360"/>
      <c r="JOR188" s="1925"/>
      <c r="JOS188" s="955"/>
      <c r="JOT188" s="963"/>
      <c r="JOU188" s="2242"/>
      <c r="JOV188" s="1360"/>
      <c r="JOW188" s="955"/>
      <c r="JOX188" s="1361"/>
      <c r="JOY188" s="1360"/>
      <c r="JOZ188" s="1925"/>
      <c r="JPA188" s="955"/>
      <c r="JPB188" s="963"/>
      <c r="JPC188" s="2242"/>
      <c r="JPD188" s="1360"/>
      <c r="JPE188" s="955"/>
      <c r="JPF188" s="1361"/>
      <c r="JPG188" s="1360"/>
      <c r="JPH188" s="1925"/>
      <c r="JPI188" s="955"/>
      <c r="JPJ188" s="963"/>
      <c r="JPK188" s="2242"/>
      <c r="JPL188" s="1360"/>
      <c r="JPM188" s="955"/>
      <c r="JPN188" s="1361"/>
      <c r="JPO188" s="1360"/>
      <c r="JPP188" s="1925"/>
      <c r="JPQ188" s="955"/>
      <c r="JPR188" s="963"/>
      <c r="JPS188" s="2242"/>
      <c r="JPT188" s="1360"/>
      <c r="JPU188" s="955"/>
      <c r="JPV188" s="1361"/>
      <c r="JPW188" s="1360"/>
      <c r="JPX188" s="1925"/>
      <c r="JPY188" s="955"/>
      <c r="JPZ188" s="963"/>
      <c r="JQA188" s="2242"/>
      <c r="JQB188" s="1360"/>
      <c r="JQC188" s="955"/>
      <c r="JQD188" s="1361"/>
      <c r="JQE188" s="1360"/>
      <c r="JQF188" s="1925"/>
      <c r="JQG188" s="955"/>
      <c r="JQH188" s="963"/>
      <c r="JQI188" s="2242"/>
      <c r="JQJ188" s="1360"/>
      <c r="JQK188" s="955"/>
      <c r="JQL188" s="1361"/>
      <c r="JQM188" s="1360"/>
      <c r="JQN188" s="1925"/>
      <c r="JQO188" s="955"/>
      <c r="JQP188" s="963"/>
      <c r="JQQ188" s="2242"/>
      <c r="JQR188" s="1360"/>
      <c r="JQS188" s="955"/>
      <c r="JQT188" s="1361"/>
      <c r="JQU188" s="1360"/>
      <c r="JQV188" s="1925"/>
      <c r="JQW188" s="955"/>
      <c r="JQX188" s="963"/>
      <c r="JQY188" s="2242"/>
      <c r="JQZ188" s="1360"/>
      <c r="JRA188" s="955"/>
      <c r="JRB188" s="1361"/>
      <c r="JRC188" s="1360"/>
      <c r="JRD188" s="1925"/>
      <c r="JRE188" s="955"/>
      <c r="JRF188" s="963"/>
      <c r="JRG188" s="2242"/>
      <c r="JRH188" s="1360"/>
      <c r="JRI188" s="955"/>
      <c r="JRJ188" s="1361"/>
      <c r="JRK188" s="1360"/>
      <c r="JRL188" s="1925"/>
      <c r="JRM188" s="955"/>
      <c r="JRN188" s="963"/>
      <c r="JRO188" s="2242"/>
      <c r="JRP188" s="1360"/>
      <c r="JRQ188" s="955"/>
      <c r="JRR188" s="1361"/>
      <c r="JRS188" s="1360"/>
      <c r="JRT188" s="1925"/>
      <c r="JRU188" s="955"/>
      <c r="JRV188" s="963"/>
      <c r="JRW188" s="2242"/>
      <c r="JRX188" s="1360"/>
      <c r="JRY188" s="955"/>
      <c r="JRZ188" s="1361"/>
      <c r="JSA188" s="1360"/>
      <c r="JSB188" s="1925"/>
      <c r="JSC188" s="955"/>
      <c r="JSD188" s="963"/>
      <c r="JSE188" s="2242"/>
      <c r="JSF188" s="1360"/>
      <c r="JSG188" s="955"/>
      <c r="JSH188" s="1361"/>
      <c r="JSI188" s="1360"/>
      <c r="JSJ188" s="1925"/>
      <c r="JSK188" s="955"/>
      <c r="JSL188" s="963"/>
      <c r="JSM188" s="2242"/>
      <c r="JSN188" s="1360"/>
      <c r="JSO188" s="955"/>
      <c r="JSP188" s="1361"/>
      <c r="JSQ188" s="1360"/>
      <c r="JSR188" s="1925"/>
      <c r="JSS188" s="955"/>
      <c r="JST188" s="963"/>
      <c r="JSU188" s="2242"/>
      <c r="JSV188" s="1360"/>
      <c r="JSW188" s="955"/>
      <c r="JSX188" s="1361"/>
      <c r="JSY188" s="1360"/>
      <c r="JSZ188" s="1925"/>
      <c r="JTA188" s="955"/>
      <c r="JTB188" s="963"/>
      <c r="JTC188" s="2242"/>
      <c r="JTD188" s="1360"/>
      <c r="JTE188" s="955"/>
      <c r="JTF188" s="1361"/>
      <c r="JTG188" s="1360"/>
      <c r="JTH188" s="1925"/>
      <c r="JTI188" s="955"/>
      <c r="JTJ188" s="963"/>
      <c r="JTK188" s="2242"/>
      <c r="JTL188" s="1360"/>
      <c r="JTM188" s="955"/>
      <c r="JTN188" s="1361"/>
      <c r="JTO188" s="1360"/>
      <c r="JTP188" s="1925"/>
      <c r="JTQ188" s="955"/>
      <c r="JTR188" s="963"/>
      <c r="JTS188" s="2242"/>
      <c r="JTT188" s="1360"/>
      <c r="JTU188" s="955"/>
      <c r="JTV188" s="1361"/>
      <c r="JTW188" s="1360"/>
      <c r="JTX188" s="1925"/>
      <c r="JTY188" s="955"/>
      <c r="JTZ188" s="963"/>
      <c r="JUA188" s="2242"/>
      <c r="JUB188" s="1360"/>
      <c r="JUC188" s="955"/>
      <c r="JUD188" s="1361"/>
      <c r="JUE188" s="1360"/>
      <c r="JUF188" s="1925"/>
      <c r="JUG188" s="955"/>
      <c r="JUH188" s="963"/>
      <c r="JUI188" s="2242"/>
      <c r="JUJ188" s="1360"/>
      <c r="JUK188" s="955"/>
      <c r="JUL188" s="1361"/>
      <c r="JUM188" s="1360"/>
      <c r="JUN188" s="1925"/>
      <c r="JUO188" s="955"/>
      <c r="JUP188" s="963"/>
      <c r="JUQ188" s="2242"/>
      <c r="JUR188" s="1360"/>
      <c r="JUS188" s="955"/>
      <c r="JUT188" s="1361"/>
      <c r="JUU188" s="1360"/>
      <c r="JUV188" s="1925"/>
      <c r="JUW188" s="955"/>
      <c r="JUX188" s="963"/>
      <c r="JUY188" s="2242"/>
      <c r="JUZ188" s="1360"/>
      <c r="JVA188" s="955"/>
      <c r="JVB188" s="1361"/>
      <c r="JVC188" s="1360"/>
      <c r="JVD188" s="1925"/>
      <c r="JVE188" s="955"/>
      <c r="JVF188" s="963"/>
      <c r="JVG188" s="2242"/>
      <c r="JVH188" s="1360"/>
      <c r="JVI188" s="955"/>
      <c r="JVJ188" s="1361"/>
      <c r="JVK188" s="1360"/>
      <c r="JVL188" s="1925"/>
      <c r="JVM188" s="955"/>
      <c r="JVN188" s="963"/>
      <c r="JVO188" s="2242"/>
      <c r="JVP188" s="1360"/>
      <c r="JVQ188" s="955"/>
      <c r="JVR188" s="1361"/>
      <c r="JVS188" s="1360"/>
      <c r="JVT188" s="1925"/>
      <c r="JVU188" s="955"/>
      <c r="JVV188" s="963"/>
      <c r="JVW188" s="2242"/>
      <c r="JVX188" s="1360"/>
      <c r="JVY188" s="955"/>
      <c r="JVZ188" s="1361"/>
      <c r="JWA188" s="1360"/>
      <c r="JWB188" s="1925"/>
      <c r="JWC188" s="955"/>
      <c r="JWD188" s="963"/>
      <c r="JWE188" s="2242"/>
      <c r="JWF188" s="1360"/>
      <c r="JWG188" s="955"/>
      <c r="JWH188" s="1361"/>
      <c r="JWI188" s="1360"/>
      <c r="JWJ188" s="1925"/>
      <c r="JWK188" s="955"/>
      <c r="JWL188" s="963"/>
      <c r="JWM188" s="2242"/>
      <c r="JWN188" s="1360"/>
      <c r="JWO188" s="955"/>
      <c r="JWP188" s="1361"/>
      <c r="JWQ188" s="1360"/>
      <c r="JWR188" s="1925"/>
      <c r="JWS188" s="955"/>
      <c r="JWT188" s="963"/>
      <c r="JWU188" s="2242"/>
      <c r="JWV188" s="1360"/>
      <c r="JWW188" s="955"/>
      <c r="JWX188" s="1361"/>
      <c r="JWY188" s="1360"/>
      <c r="JWZ188" s="1925"/>
      <c r="JXA188" s="955"/>
      <c r="JXB188" s="963"/>
      <c r="JXC188" s="2242"/>
      <c r="JXD188" s="1360"/>
      <c r="JXE188" s="955"/>
      <c r="JXF188" s="1361"/>
      <c r="JXG188" s="1360"/>
      <c r="JXH188" s="1925"/>
      <c r="JXI188" s="955"/>
      <c r="JXJ188" s="963"/>
      <c r="JXK188" s="2242"/>
      <c r="JXL188" s="1360"/>
      <c r="JXM188" s="955"/>
      <c r="JXN188" s="1361"/>
      <c r="JXO188" s="1360"/>
      <c r="JXP188" s="1925"/>
      <c r="JXQ188" s="955"/>
      <c r="JXR188" s="963"/>
      <c r="JXS188" s="2242"/>
      <c r="JXT188" s="1360"/>
      <c r="JXU188" s="955"/>
      <c r="JXV188" s="1361"/>
      <c r="JXW188" s="1360"/>
      <c r="JXX188" s="1925"/>
      <c r="JXY188" s="955"/>
      <c r="JXZ188" s="963"/>
      <c r="JYA188" s="2242"/>
      <c r="JYB188" s="1360"/>
      <c r="JYC188" s="955"/>
      <c r="JYD188" s="1361"/>
      <c r="JYE188" s="1360"/>
      <c r="JYF188" s="1925"/>
      <c r="JYG188" s="955"/>
      <c r="JYH188" s="963"/>
      <c r="JYI188" s="2242"/>
      <c r="JYJ188" s="1360"/>
      <c r="JYK188" s="955"/>
      <c r="JYL188" s="1361"/>
      <c r="JYM188" s="1360"/>
      <c r="JYN188" s="1925"/>
      <c r="JYO188" s="955"/>
      <c r="JYP188" s="963"/>
      <c r="JYQ188" s="2242"/>
      <c r="JYR188" s="1360"/>
      <c r="JYS188" s="955"/>
      <c r="JYT188" s="1361"/>
      <c r="JYU188" s="1360"/>
      <c r="JYV188" s="1925"/>
      <c r="JYW188" s="955"/>
      <c r="JYX188" s="963"/>
      <c r="JYY188" s="2242"/>
      <c r="JYZ188" s="1360"/>
      <c r="JZA188" s="955"/>
      <c r="JZB188" s="1361"/>
      <c r="JZC188" s="1360"/>
      <c r="JZD188" s="1925"/>
      <c r="JZE188" s="955"/>
      <c r="JZF188" s="963"/>
      <c r="JZG188" s="2242"/>
      <c r="JZH188" s="1360"/>
      <c r="JZI188" s="955"/>
      <c r="JZJ188" s="1361"/>
      <c r="JZK188" s="1360"/>
      <c r="JZL188" s="1925"/>
      <c r="JZM188" s="955"/>
      <c r="JZN188" s="963"/>
      <c r="JZO188" s="2242"/>
      <c r="JZP188" s="1360"/>
      <c r="JZQ188" s="955"/>
      <c r="JZR188" s="1361"/>
      <c r="JZS188" s="1360"/>
      <c r="JZT188" s="1925"/>
      <c r="JZU188" s="955"/>
      <c r="JZV188" s="963"/>
      <c r="JZW188" s="2242"/>
      <c r="JZX188" s="1360"/>
      <c r="JZY188" s="955"/>
      <c r="JZZ188" s="1361"/>
      <c r="KAA188" s="1360"/>
      <c r="KAB188" s="1925"/>
      <c r="KAC188" s="955"/>
      <c r="KAD188" s="963"/>
      <c r="KAE188" s="2242"/>
      <c r="KAF188" s="1360"/>
      <c r="KAG188" s="955"/>
      <c r="KAH188" s="1361"/>
      <c r="KAI188" s="1360"/>
      <c r="KAJ188" s="1925"/>
      <c r="KAK188" s="955"/>
      <c r="KAL188" s="963"/>
      <c r="KAM188" s="2242"/>
      <c r="KAN188" s="1360"/>
      <c r="KAO188" s="955"/>
      <c r="KAP188" s="1361"/>
      <c r="KAQ188" s="1360"/>
      <c r="KAR188" s="1925"/>
      <c r="KAS188" s="955"/>
      <c r="KAT188" s="963"/>
      <c r="KAU188" s="2242"/>
      <c r="KAV188" s="1360"/>
      <c r="KAW188" s="955"/>
      <c r="KAX188" s="1361"/>
      <c r="KAY188" s="1360"/>
      <c r="KAZ188" s="1925"/>
      <c r="KBA188" s="955"/>
      <c r="KBB188" s="963"/>
      <c r="KBC188" s="2242"/>
      <c r="KBD188" s="1360"/>
      <c r="KBE188" s="955"/>
      <c r="KBF188" s="1361"/>
      <c r="KBG188" s="1360"/>
      <c r="KBH188" s="1925"/>
      <c r="KBI188" s="955"/>
      <c r="KBJ188" s="963"/>
      <c r="KBK188" s="2242"/>
      <c r="KBL188" s="1360"/>
      <c r="KBM188" s="955"/>
      <c r="KBN188" s="1361"/>
      <c r="KBO188" s="1360"/>
      <c r="KBP188" s="1925"/>
      <c r="KBQ188" s="955"/>
      <c r="KBR188" s="963"/>
      <c r="KBS188" s="2242"/>
      <c r="KBT188" s="1360"/>
      <c r="KBU188" s="955"/>
      <c r="KBV188" s="1361"/>
      <c r="KBW188" s="1360"/>
      <c r="KBX188" s="1925"/>
      <c r="KBY188" s="955"/>
      <c r="KBZ188" s="963"/>
      <c r="KCA188" s="2242"/>
      <c r="KCB188" s="1360"/>
      <c r="KCC188" s="955"/>
      <c r="KCD188" s="1361"/>
      <c r="KCE188" s="1360"/>
      <c r="KCF188" s="1925"/>
      <c r="KCG188" s="955"/>
      <c r="KCH188" s="963"/>
      <c r="KCI188" s="2242"/>
      <c r="KCJ188" s="1360"/>
      <c r="KCK188" s="955"/>
      <c r="KCL188" s="1361"/>
      <c r="KCM188" s="1360"/>
      <c r="KCN188" s="1925"/>
      <c r="KCO188" s="955"/>
      <c r="KCP188" s="963"/>
      <c r="KCQ188" s="2242"/>
      <c r="KCR188" s="1360"/>
      <c r="KCS188" s="955"/>
      <c r="KCT188" s="1361"/>
      <c r="KCU188" s="1360"/>
      <c r="KCV188" s="1925"/>
      <c r="KCW188" s="955"/>
      <c r="KCX188" s="963"/>
      <c r="KCY188" s="2242"/>
      <c r="KCZ188" s="1360"/>
      <c r="KDA188" s="955"/>
      <c r="KDB188" s="1361"/>
      <c r="KDC188" s="1360"/>
      <c r="KDD188" s="1925"/>
      <c r="KDE188" s="955"/>
      <c r="KDF188" s="963"/>
      <c r="KDG188" s="2242"/>
      <c r="KDH188" s="1360"/>
      <c r="KDI188" s="955"/>
      <c r="KDJ188" s="1361"/>
      <c r="KDK188" s="1360"/>
      <c r="KDL188" s="1925"/>
      <c r="KDM188" s="955"/>
      <c r="KDN188" s="963"/>
      <c r="KDO188" s="2242"/>
      <c r="KDP188" s="1360"/>
      <c r="KDQ188" s="955"/>
      <c r="KDR188" s="1361"/>
      <c r="KDS188" s="1360"/>
      <c r="KDT188" s="1925"/>
      <c r="KDU188" s="955"/>
      <c r="KDV188" s="963"/>
      <c r="KDW188" s="2242"/>
      <c r="KDX188" s="1360"/>
      <c r="KDY188" s="955"/>
      <c r="KDZ188" s="1361"/>
      <c r="KEA188" s="1360"/>
      <c r="KEB188" s="1925"/>
      <c r="KEC188" s="955"/>
      <c r="KED188" s="963"/>
      <c r="KEE188" s="2242"/>
      <c r="KEF188" s="1360"/>
      <c r="KEG188" s="955"/>
      <c r="KEH188" s="1361"/>
      <c r="KEI188" s="1360"/>
      <c r="KEJ188" s="1925"/>
      <c r="KEK188" s="955"/>
      <c r="KEL188" s="963"/>
      <c r="KEM188" s="2242"/>
      <c r="KEN188" s="1360"/>
      <c r="KEO188" s="955"/>
      <c r="KEP188" s="1361"/>
      <c r="KEQ188" s="1360"/>
      <c r="KER188" s="1925"/>
      <c r="KES188" s="955"/>
      <c r="KET188" s="963"/>
      <c r="KEU188" s="2242"/>
      <c r="KEV188" s="1360"/>
      <c r="KEW188" s="955"/>
      <c r="KEX188" s="1361"/>
      <c r="KEY188" s="1360"/>
      <c r="KEZ188" s="1925"/>
      <c r="KFA188" s="955"/>
      <c r="KFB188" s="963"/>
      <c r="KFC188" s="2242"/>
      <c r="KFD188" s="1360"/>
      <c r="KFE188" s="955"/>
      <c r="KFF188" s="1361"/>
      <c r="KFG188" s="1360"/>
      <c r="KFH188" s="1925"/>
      <c r="KFI188" s="955"/>
      <c r="KFJ188" s="963"/>
      <c r="KFK188" s="2242"/>
      <c r="KFL188" s="1360"/>
      <c r="KFM188" s="955"/>
      <c r="KFN188" s="1361"/>
      <c r="KFO188" s="1360"/>
      <c r="KFP188" s="1925"/>
      <c r="KFQ188" s="955"/>
      <c r="KFR188" s="963"/>
      <c r="KFS188" s="2242"/>
      <c r="KFT188" s="1360"/>
      <c r="KFU188" s="955"/>
      <c r="KFV188" s="1361"/>
      <c r="KFW188" s="1360"/>
      <c r="KFX188" s="1925"/>
      <c r="KFY188" s="955"/>
      <c r="KFZ188" s="963"/>
      <c r="KGA188" s="2242"/>
      <c r="KGB188" s="1360"/>
      <c r="KGC188" s="955"/>
      <c r="KGD188" s="1361"/>
      <c r="KGE188" s="1360"/>
      <c r="KGF188" s="1925"/>
      <c r="KGG188" s="955"/>
      <c r="KGH188" s="963"/>
      <c r="KGI188" s="2242"/>
      <c r="KGJ188" s="1360"/>
      <c r="KGK188" s="955"/>
      <c r="KGL188" s="1361"/>
      <c r="KGM188" s="1360"/>
      <c r="KGN188" s="1925"/>
      <c r="KGO188" s="955"/>
      <c r="KGP188" s="963"/>
      <c r="KGQ188" s="2242"/>
      <c r="KGR188" s="1360"/>
      <c r="KGS188" s="955"/>
      <c r="KGT188" s="1361"/>
      <c r="KGU188" s="1360"/>
      <c r="KGV188" s="1925"/>
      <c r="KGW188" s="955"/>
      <c r="KGX188" s="963"/>
      <c r="KGY188" s="2242"/>
      <c r="KGZ188" s="1360"/>
      <c r="KHA188" s="955"/>
      <c r="KHB188" s="1361"/>
      <c r="KHC188" s="1360"/>
      <c r="KHD188" s="1925"/>
      <c r="KHE188" s="955"/>
      <c r="KHF188" s="963"/>
      <c r="KHG188" s="2242"/>
      <c r="KHH188" s="1360"/>
      <c r="KHI188" s="955"/>
      <c r="KHJ188" s="1361"/>
      <c r="KHK188" s="1360"/>
      <c r="KHL188" s="1925"/>
      <c r="KHM188" s="955"/>
      <c r="KHN188" s="963"/>
      <c r="KHO188" s="2242"/>
      <c r="KHP188" s="1360"/>
      <c r="KHQ188" s="955"/>
      <c r="KHR188" s="1361"/>
      <c r="KHS188" s="1360"/>
      <c r="KHT188" s="1925"/>
      <c r="KHU188" s="955"/>
      <c r="KHV188" s="963"/>
      <c r="KHW188" s="2242"/>
      <c r="KHX188" s="1360"/>
      <c r="KHY188" s="955"/>
      <c r="KHZ188" s="1361"/>
      <c r="KIA188" s="1360"/>
      <c r="KIB188" s="1925"/>
      <c r="KIC188" s="955"/>
      <c r="KID188" s="963"/>
      <c r="KIE188" s="2242"/>
      <c r="KIF188" s="1360"/>
      <c r="KIG188" s="955"/>
      <c r="KIH188" s="1361"/>
      <c r="KII188" s="1360"/>
      <c r="KIJ188" s="1925"/>
      <c r="KIK188" s="955"/>
      <c r="KIL188" s="963"/>
      <c r="KIM188" s="2242"/>
      <c r="KIN188" s="1360"/>
      <c r="KIO188" s="955"/>
      <c r="KIP188" s="1361"/>
      <c r="KIQ188" s="1360"/>
      <c r="KIR188" s="1925"/>
      <c r="KIS188" s="955"/>
      <c r="KIT188" s="963"/>
      <c r="KIU188" s="2242"/>
      <c r="KIV188" s="1360"/>
      <c r="KIW188" s="955"/>
      <c r="KIX188" s="1361"/>
      <c r="KIY188" s="1360"/>
      <c r="KIZ188" s="1925"/>
      <c r="KJA188" s="955"/>
      <c r="KJB188" s="963"/>
      <c r="KJC188" s="2242"/>
      <c r="KJD188" s="1360"/>
      <c r="KJE188" s="955"/>
      <c r="KJF188" s="1361"/>
      <c r="KJG188" s="1360"/>
      <c r="KJH188" s="1925"/>
      <c r="KJI188" s="955"/>
      <c r="KJJ188" s="963"/>
      <c r="KJK188" s="2242"/>
      <c r="KJL188" s="1360"/>
      <c r="KJM188" s="955"/>
      <c r="KJN188" s="1361"/>
      <c r="KJO188" s="1360"/>
      <c r="KJP188" s="1925"/>
      <c r="KJQ188" s="955"/>
      <c r="KJR188" s="963"/>
      <c r="KJS188" s="2242"/>
      <c r="KJT188" s="1360"/>
      <c r="KJU188" s="955"/>
      <c r="KJV188" s="1361"/>
      <c r="KJW188" s="1360"/>
      <c r="KJX188" s="1925"/>
      <c r="KJY188" s="955"/>
      <c r="KJZ188" s="963"/>
      <c r="KKA188" s="2242"/>
      <c r="KKB188" s="1360"/>
      <c r="KKC188" s="955"/>
      <c r="KKD188" s="1361"/>
      <c r="KKE188" s="1360"/>
      <c r="KKF188" s="1925"/>
      <c r="KKG188" s="955"/>
      <c r="KKH188" s="963"/>
      <c r="KKI188" s="2242"/>
      <c r="KKJ188" s="1360"/>
      <c r="KKK188" s="955"/>
      <c r="KKL188" s="1361"/>
      <c r="KKM188" s="1360"/>
      <c r="KKN188" s="1925"/>
      <c r="KKO188" s="955"/>
      <c r="KKP188" s="963"/>
      <c r="KKQ188" s="2242"/>
      <c r="KKR188" s="1360"/>
      <c r="KKS188" s="955"/>
      <c r="KKT188" s="1361"/>
      <c r="KKU188" s="1360"/>
      <c r="KKV188" s="1925"/>
      <c r="KKW188" s="955"/>
      <c r="KKX188" s="963"/>
      <c r="KKY188" s="2242"/>
      <c r="KKZ188" s="1360"/>
      <c r="KLA188" s="955"/>
      <c r="KLB188" s="1361"/>
      <c r="KLC188" s="1360"/>
      <c r="KLD188" s="1925"/>
      <c r="KLE188" s="955"/>
      <c r="KLF188" s="963"/>
      <c r="KLG188" s="2242"/>
      <c r="KLH188" s="1360"/>
      <c r="KLI188" s="955"/>
      <c r="KLJ188" s="1361"/>
      <c r="KLK188" s="1360"/>
      <c r="KLL188" s="1925"/>
      <c r="KLM188" s="955"/>
      <c r="KLN188" s="963"/>
      <c r="KLO188" s="2242"/>
      <c r="KLP188" s="1360"/>
      <c r="KLQ188" s="955"/>
      <c r="KLR188" s="1361"/>
      <c r="KLS188" s="1360"/>
      <c r="KLT188" s="1925"/>
      <c r="KLU188" s="955"/>
      <c r="KLV188" s="963"/>
      <c r="KLW188" s="2242"/>
      <c r="KLX188" s="1360"/>
      <c r="KLY188" s="955"/>
      <c r="KLZ188" s="1361"/>
      <c r="KMA188" s="1360"/>
      <c r="KMB188" s="1925"/>
      <c r="KMC188" s="955"/>
      <c r="KMD188" s="963"/>
      <c r="KME188" s="2242"/>
      <c r="KMF188" s="1360"/>
      <c r="KMG188" s="955"/>
      <c r="KMH188" s="1361"/>
      <c r="KMI188" s="1360"/>
      <c r="KMJ188" s="1925"/>
      <c r="KMK188" s="955"/>
      <c r="KML188" s="963"/>
      <c r="KMM188" s="2242"/>
      <c r="KMN188" s="1360"/>
      <c r="KMO188" s="955"/>
      <c r="KMP188" s="1361"/>
      <c r="KMQ188" s="1360"/>
      <c r="KMR188" s="1925"/>
      <c r="KMS188" s="955"/>
      <c r="KMT188" s="963"/>
      <c r="KMU188" s="2242"/>
      <c r="KMV188" s="1360"/>
      <c r="KMW188" s="955"/>
      <c r="KMX188" s="1361"/>
      <c r="KMY188" s="1360"/>
      <c r="KMZ188" s="1925"/>
      <c r="KNA188" s="955"/>
      <c r="KNB188" s="963"/>
      <c r="KNC188" s="2242"/>
      <c r="KND188" s="1360"/>
      <c r="KNE188" s="955"/>
      <c r="KNF188" s="1361"/>
      <c r="KNG188" s="1360"/>
      <c r="KNH188" s="1925"/>
      <c r="KNI188" s="955"/>
      <c r="KNJ188" s="963"/>
      <c r="KNK188" s="2242"/>
      <c r="KNL188" s="1360"/>
      <c r="KNM188" s="955"/>
      <c r="KNN188" s="1361"/>
      <c r="KNO188" s="1360"/>
      <c r="KNP188" s="1925"/>
      <c r="KNQ188" s="955"/>
      <c r="KNR188" s="963"/>
      <c r="KNS188" s="2242"/>
      <c r="KNT188" s="1360"/>
      <c r="KNU188" s="955"/>
      <c r="KNV188" s="1361"/>
      <c r="KNW188" s="1360"/>
      <c r="KNX188" s="1925"/>
      <c r="KNY188" s="955"/>
      <c r="KNZ188" s="963"/>
      <c r="KOA188" s="2242"/>
      <c r="KOB188" s="1360"/>
      <c r="KOC188" s="955"/>
      <c r="KOD188" s="1361"/>
      <c r="KOE188" s="1360"/>
      <c r="KOF188" s="1925"/>
      <c r="KOG188" s="955"/>
      <c r="KOH188" s="963"/>
      <c r="KOI188" s="2242"/>
      <c r="KOJ188" s="1360"/>
      <c r="KOK188" s="955"/>
      <c r="KOL188" s="1361"/>
      <c r="KOM188" s="1360"/>
      <c r="KON188" s="1925"/>
      <c r="KOO188" s="955"/>
      <c r="KOP188" s="963"/>
      <c r="KOQ188" s="2242"/>
      <c r="KOR188" s="1360"/>
      <c r="KOS188" s="955"/>
      <c r="KOT188" s="1361"/>
      <c r="KOU188" s="1360"/>
      <c r="KOV188" s="1925"/>
      <c r="KOW188" s="955"/>
      <c r="KOX188" s="963"/>
      <c r="KOY188" s="2242"/>
      <c r="KOZ188" s="1360"/>
      <c r="KPA188" s="955"/>
      <c r="KPB188" s="1361"/>
      <c r="KPC188" s="1360"/>
      <c r="KPD188" s="1925"/>
      <c r="KPE188" s="955"/>
      <c r="KPF188" s="963"/>
      <c r="KPG188" s="2242"/>
      <c r="KPH188" s="1360"/>
      <c r="KPI188" s="955"/>
      <c r="KPJ188" s="1361"/>
      <c r="KPK188" s="1360"/>
      <c r="KPL188" s="1925"/>
      <c r="KPM188" s="955"/>
      <c r="KPN188" s="963"/>
      <c r="KPO188" s="2242"/>
      <c r="KPP188" s="1360"/>
      <c r="KPQ188" s="955"/>
      <c r="KPR188" s="1361"/>
      <c r="KPS188" s="1360"/>
      <c r="KPT188" s="1925"/>
      <c r="KPU188" s="955"/>
      <c r="KPV188" s="963"/>
      <c r="KPW188" s="2242"/>
      <c r="KPX188" s="1360"/>
      <c r="KPY188" s="955"/>
      <c r="KPZ188" s="1361"/>
      <c r="KQA188" s="1360"/>
      <c r="KQB188" s="1925"/>
      <c r="KQC188" s="955"/>
      <c r="KQD188" s="963"/>
      <c r="KQE188" s="2242"/>
      <c r="KQF188" s="1360"/>
      <c r="KQG188" s="955"/>
      <c r="KQH188" s="1361"/>
      <c r="KQI188" s="1360"/>
      <c r="KQJ188" s="1925"/>
      <c r="KQK188" s="955"/>
      <c r="KQL188" s="963"/>
      <c r="KQM188" s="2242"/>
      <c r="KQN188" s="1360"/>
      <c r="KQO188" s="955"/>
      <c r="KQP188" s="1361"/>
      <c r="KQQ188" s="1360"/>
      <c r="KQR188" s="1925"/>
      <c r="KQS188" s="955"/>
      <c r="KQT188" s="963"/>
      <c r="KQU188" s="2242"/>
      <c r="KQV188" s="1360"/>
      <c r="KQW188" s="955"/>
      <c r="KQX188" s="1361"/>
      <c r="KQY188" s="1360"/>
      <c r="KQZ188" s="1925"/>
      <c r="KRA188" s="955"/>
      <c r="KRB188" s="963"/>
      <c r="KRC188" s="2242"/>
      <c r="KRD188" s="1360"/>
      <c r="KRE188" s="955"/>
      <c r="KRF188" s="1361"/>
      <c r="KRG188" s="1360"/>
      <c r="KRH188" s="1925"/>
      <c r="KRI188" s="955"/>
      <c r="KRJ188" s="963"/>
      <c r="KRK188" s="2242"/>
      <c r="KRL188" s="1360"/>
      <c r="KRM188" s="955"/>
      <c r="KRN188" s="1361"/>
      <c r="KRO188" s="1360"/>
      <c r="KRP188" s="1925"/>
      <c r="KRQ188" s="955"/>
      <c r="KRR188" s="963"/>
      <c r="KRS188" s="2242"/>
      <c r="KRT188" s="1360"/>
      <c r="KRU188" s="955"/>
      <c r="KRV188" s="1361"/>
      <c r="KRW188" s="1360"/>
      <c r="KRX188" s="1925"/>
      <c r="KRY188" s="955"/>
      <c r="KRZ188" s="963"/>
      <c r="KSA188" s="2242"/>
      <c r="KSB188" s="1360"/>
      <c r="KSC188" s="955"/>
      <c r="KSD188" s="1361"/>
      <c r="KSE188" s="1360"/>
      <c r="KSF188" s="1925"/>
      <c r="KSG188" s="955"/>
      <c r="KSH188" s="963"/>
      <c r="KSI188" s="2242"/>
      <c r="KSJ188" s="1360"/>
      <c r="KSK188" s="955"/>
      <c r="KSL188" s="1361"/>
      <c r="KSM188" s="1360"/>
      <c r="KSN188" s="1925"/>
      <c r="KSO188" s="955"/>
      <c r="KSP188" s="963"/>
      <c r="KSQ188" s="2242"/>
      <c r="KSR188" s="1360"/>
      <c r="KSS188" s="955"/>
      <c r="KST188" s="1361"/>
      <c r="KSU188" s="1360"/>
      <c r="KSV188" s="1925"/>
      <c r="KSW188" s="955"/>
      <c r="KSX188" s="963"/>
      <c r="KSY188" s="2242"/>
      <c r="KSZ188" s="1360"/>
      <c r="KTA188" s="955"/>
      <c r="KTB188" s="1361"/>
      <c r="KTC188" s="1360"/>
      <c r="KTD188" s="1925"/>
      <c r="KTE188" s="955"/>
      <c r="KTF188" s="963"/>
      <c r="KTG188" s="2242"/>
      <c r="KTH188" s="1360"/>
      <c r="KTI188" s="955"/>
      <c r="KTJ188" s="1361"/>
      <c r="KTK188" s="1360"/>
      <c r="KTL188" s="1925"/>
      <c r="KTM188" s="955"/>
      <c r="KTN188" s="963"/>
      <c r="KTO188" s="2242"/>
      <c r="KTP188" s="1360"/>
      <c r="KTQ188" s="955"/>
      <c r="KTR188" s="1361"/>
      <c r="KTS188" s="1360"/>
      <c r="KTT188" s="1925"/>
      <c r="KTU188" s="955"/>
      <c r="KTV188" s="963"/>
      <c r="KTW188" s="2242"/>
      <c r="KTX188" s="1360"/>
      <c r="KTY188" s="955"/>
      <c r="KTZ188" s="1361"/>
      <c r="KUA188" s="1360"/>
      <c r="KUB188" s="1925"/>
      <c r="KUC188" s="955"/>
      <c r="KUD188" s="963"/>
      <c r="KUE188" s="2242"/>
      <c r="KUF188" s="1360"/>
      <c r="KUG188" s="955"/>
      <c r="KUH188" s="1361"/>
      <c r="KUI188" s="1360"/>
      <c r="KUJ188" s="1925"/>
      <c r="KUK188" s="955"/>
      <c r="KUL188" s="963"/>
      <c r="KUM188" s="2242"/>
      <c r="KUN188" s="1360"/>
      <c r="KUO188" s="955"/>
      <c r="KUP188" s="1361"/>
      <c r="KUQ188" s="1360"/>
      <c r="KUR188" s="1925"/>
      <c r="KUS188" s="955"/>
      <c r="KUT188" s="963"/>
      <c r="KUU188" s="2242"/>
      <c r="KUV188" s="1360"/>
      <c r="KUW188" s="955"/>
      <c r="KUX188" s="1361"/>
      <c r="KUY188" s="1360"/>
      <c r="KUZ188" s="1925"/>
      <c r="KVA188" s="955"/>
      <c r="KVB188" s="963"/>
      <c r="KVC188" s="2242"/>
      <c r="KVD188" s="1360"/>
      <c r="KVE188" s="955"/>
      <c r="KVF188" s="1361"/>
      <c r="KVG188" s="1360"/>
      <c r="KVH188" s="1925"/>
      <c r="KVI188" s="955"/>
      <c r="KVJ188" s="963"/>
      <c r="KVK188" s="2242"/>
      <c r="KVL188" s="1360"/>
      <c r="KVM188" s="955"/>
      <c r="KVN188" s="1361"/>
      <c r="KVO188" s="1360"/>
      <c r="KVP188" s="1925"/>
      <c r="KVQ188" s="955"/>
      <c r="KVR188" s="963"/>
      <c r="KVS188" s="2242"/>
      <c r="KVT188" s="1360"/>
      <c r="KVU188" s="955"/>
      <c r="KVV188" s="1361"/>
      <c r="KVW188" s="1360"/>
      <c r="KVX188" s="1925"/>
      <c r="KVY188" s="955"/>
      <c r="KVZ188" s="963"/>
      <c r="KWA188" s="2242"/>
      <c r="KWB188" s="1360"/>
      <c r="KWC188" s="955"/>
      <c r="KWD188" s="1361"/>
      <c r="KWE188" s="1360"/>
      <c r="KWF188" s="1925"/>
      <c r="KWG188" s="955"/>
      <c r="KWH188" s="963"/>
      <c r="KWI188" s="2242"/>
      <c r="KWJ188" s="1360"/>
      <c r="KWK188" s="955"/>
      <c r="KWL188" s="1361"/>
      <c r="KWM188" s="1360"/>
      <c r="KWN188" s="1925"/>
      <c r="KWO188" s="955"/>
      <c r="KWP188" s="963"/>
      <c r="KWQ188" s="2242"/>
      <c r="KWR188" s="1360"/>
      <c r="KWS188" s="955"/>
      <c r="KWT188" s="1361"/>
      <c r="KWU188" s="1360"/>
      <c r="KWV188" s="1925"/>
      <c r="KWW188" s="955"/>
      <c r="KWX188" s="963"/>
      <c r="KWY188" s="2242"/>
      <c r="KWZ188" s="1360"/>
      <c r="KXA188" s="955"/>
      <c r="KXB188" s="1361"/>
      <c r="KXC188" s="1360"/>
      <c r="KXD188" s="1925"/>
      <c r="KXE188" s="955"/>
      <c r="KXF188" s="963"/>
      <c r="KXG188" s="2242"/>
      <c r="KXH188" s="1360"/>
      <c r="KXI188" s="955"/>
      <c r="KXJ188" s="1361"/>
      <c r="KXK188" s="1360"/>
      <c r="KXL188" s="1925"/>
      <c r="KXM188" s="955"/>
      <c r="KXN188" s="963"/>
      <c r="KXO188" s="2242"/>
      <c r="KXP188" s="1360"/>
      <c r="KXQ188" s="955"/>
      <c r="KXR188" s="1361"/>
      <c r="KXS188" s="1360"/>
      <c r="KXT188" s="1925"/>
      <c r="KXU188" s="955"/>
      <c r="KXV188" s="963"/>
      <c r="KXW188" s="2242"/>
      <c r="KXX188" s="1360"/>
      <c r="KXY188" s="955"/>
      <c r="KXZ188" s="1361"/>
      <c r="KYA188" s="1360"/>
      <c r="KYB188" s="1925"/>
      <c r="KYC188" s="955"/>
      <c r="KYD188" s="963"/>
      <c r="KYE188" s="2242"/>
      <c r="KYF188" s="1360"/>
      <c r="KYG188" s="955"/>
      <c r="KYH188" s="1361"/>
      <c r="KYI188" s="1360"/>
      <c r="KYJ188" s="1925"/>
      <c r="KYK188" s="955"/>
      <c r="KYL188" s="963"/>
      <c r="KYM188" s="2242"/>
      <c r="KYN188" s="1360"/>
      <c r="KYO188" s="955"/>
      <c r="KYP188" s="1361"/>
      <c r="KYQ188" s="1360"/>
      <c r="KYR188" s="1925"/>
      <c r="KYS188" s="955"/>
      <c r="KYT188" s="963"/>
      <c r="KYU188" s="2242"/>
      <c r="KYV188" s="1360"/>
      <c r="KYW188" s="955"/>
      <c r="KYX188" s="1361"/>
      <c r="KYY188" s="1360"/>
      <c r="KYZ188" s="1925"/>
      <c r="KZA188" s="955"/>
      <c r="KZB188" s="963"/>
      <c r="KZC188" s="2242"/>
      <c r="KZD188" s="1360"/>
      <c r="KZE188" s="955"/>
      <c r="KZF188" s="1361"/>
      <c r="KZG188" s="1360"/>
      <c r="KZH188" s="1925"/>
      <c r="KZI188" s="955"/>
      <c r="KZJ188" s="963"/>
      <c r="KZK188" s="2242"/>
      <c r="KZL188" s="1360"/>
      <c r="KZM188" s="955"/>
      <c r="KZN188" s="1361"/>
      <c r="KZO188" s="1360"/>
      <c r="KZP188" s="1925"/>
      <c r="KZQ188" s="955"/>
      <c r="KZR188" s="963"/>
      <c r="KZS188" s="2242"/>
      <c r="KZT188" s="1360"/>
      <c r="KZU188" s="955"/>
      <c r="KZV188" s="1361"/>
      <c r="KZW188" s="1360"/>
      <c r="KZX188" s="1925"/>
      <c r="KZY188" s="955"/>
      <c r="KZZ188" s="963"/>
      <c r="LAA188" s="2242"/>
      <c r="LAB188" s="1360"/>
      <c r="LAC188" s="955"/>
      <c r="LAD188" s="1361"/>
      <c r="LAE188" s="1360"/>
      <c r="LAF188" s="1925"/>
      <c r="LAG188" s="955"/>
      <c r="LAH188" s="963"/>
      <c r="LAI188" s="2242"/>
      <c r="LAJ188" s="1360"/>
      <c r="LAK188" s="955"/>
      <c r="LAL188" s="1361"/>
      <c r="LAM188" s="1360"/>
      <c r="LAN188" s="1925"/>
      <c r="LAO188" s="955"/>
      <c r="LAP188" s="963"/>
      <c r="LAQ188" s="2242"/>
      <c r="LAR188" s="1360"/>
      <c r="LAS188" s="955"/>
      <c r="LAT188" s="1361"/>
      <c r="LAU188" s="1360"/>
      <c r="LAV188" s="1925"/>
      <c r="LAW188" s="955"/>
      <c r="LAX188" s="963"/>
      <c r="LAY188" s="2242"/>
      <c r="LAZ188" s="1360"/>
      <c r="LBA188" s="955"/>
      <c r="LBB188" s="1361"/>
      <c r="LBC188" s="1360"/>
      <c r="LBD188" s="1925"/>
      <c r="LBE188" s="955"/>
      <c r="LBF188" s="963"/>
      <c r="LBG188" s="2242"/>
      <c r="LBH188" s="1360"/>
      <c r="LBI188" s="955"/>
      <c r="LBJ188" s="1361"/>
      <c r="LBK188" s="1360"/>
      <c r="LBL188" s="1925"/>
      <c r="LBM188" s="955"/>
      <c r="LBN188" s="963"/>
      <c r="LBO188" s="2242"/>
      <c r="LBP188" s="1360"/>
      <c r="LBQ188" s="955"/>
      <c r="LBR188" s="1361"/>
      <c r="LBS188" s="1360"/>
      <c r="LBT188" s="1925"/>
      <c r="LBU188" s="955"/>
      <c r="LBV188" s="963"/>
      <c r="LBW188" s="2242"/>
      <c r="LBX188" s="1360"/>
      <c r="LBY188" s="955"/>
      <c r="LBZ188" s="1361"/>
      <c r="LCA188" s="1360"/>
      <c r="LCB188" s="1925"/>
      <c r="LCC188" s="955"/>
      <c r="LCD188" s="963"/>
      <c r="LCE188" s="2242"/>
      <c r="LCF188" s="1360"/>
      <c r="LCG188" s="955"/>
      <c r="LCH188" s="1361"/>
      <c r="LCI188" s="1360"/>
      <c r="LCJ188" s="1925"/>
      <c r="LCK188" s="955"/>
      <c r="LCL188" s="963"/>
      <c r="LCM188" s="2242"/>
      <c r="LCN188" s="1360"/>
      <c r="LCO188" s="955"/>
      <c r="LCP188" s="1361"/>
      <c r="LCQ188" s="1360"/>
      <c r="LCR188" s="1925"/>
      <c r="LCS188" s="955"/>
      <c r="LCT188" s="963"/>
      <c r="LCU188" s="2242"/>
      <c r="LCV188" s="1360"/>
      <c r="LCW188" s="955"/>
      <c r="LCX188" s="1361"/>
      <c r="LCY188" s="1360"/>
      <c r="LCZ188" s="1925"/>
      <c r="LDA188" s="955"/>
      <c r="LDB188" s="963"/>
      <c r="LDC188" s="2242"/>
      <c r="LDD188" s="1360"/>
      <c r="LDE188" s="955"/>
      <c r="LDF188" s="1361"/>
      <c r="LDG188" s="1360"/>
      <c r="LDH188" s="1925"/>
      <c r="LDI188" s="955"/>
      <c r="LDJ188" s="963"/>
      <c r="LDK188" s="2242"/>
      <c r="LDL188" s="1360"/>
      <c r="LDM188" s="955"/>
      <c r="LDN188" s="1361"/>
      <c r="LDO188" s="1360"/>
      <c r="LDP188" s="1925"/>
      <c r="LDQ188" s="955"/>
      <c r="LDR188" s="963"/>
      <c r="LDS188" s="2242"/>
      <c r="LDT188" s="1360"/>
      <c r="LDU188" s="955"/>
      <c r="LDV188" s="1361"/>
      <c r="LDW188" s="1360"/>
      <c r="LDX188" s="1925"/>
      <c r="LDY188" s="955"/>
      <c r="LDZ188" s="963"/>
      <c r="LEA188" s="2242"/>
      <c r="LEB188" s="1360"/>
      <c r="LEC188" s="955"/>
      <c r="LED188" s="1361"/>
      <c r="LEE188" s="1360"/>
      <c r="LEF188" s="1925"/>
      <c r="LEG188" s="955"/>
      <c r="LEH188" s="963"/>
      <c r="LEI188" s="2242"/>
      <c r="LEJ188" s="1360"/>
      <c r="LEK188" s="955"/>
      <c r="LEL188" s="1361"/>
      <c r="LEM188" s="1360"/>
      <c r="LEN188" s="1925"/>
      <c r="LEO188" s="955"/>
      <c r="LEP188" s="963"/>
      <c r="LEQ188" s="2242"/>
      <c r="LER188" s="1360"/>
      <c r="LES188" s="955"/>
      <c r="LET188" s="1361"/>
      <c r="LEU188" s="1360"/>
      <c r="LEV188" s="1925"/>
      <c r="LEW188" s="955"/>
      <c r="LEX188" s="963"/>
      <c r="LEY188" s="2242"/>
      <c r="LEZ188" s="1360"/>
      <c r="LFA188" s="955"/>
      <c r="LFB188" s="1361"/>
      <c r="LFC188" s="1360"/>
      <c r="LFD188" s="1925"/>
      <c r="LFE188" s="955"/>
      <c r="LFF188" s="963"/>
      <c r="LFG188" s="2242"/>
      <c r="LFH188" s="1360"/>
      <c r="LFI188" s="955"/>
      <c r="LFJ188" s="1361"/>
      <c r="LFK188" s="1360"/>
      <c r="LFL188" s="1925"/>
      <c r="LFM188" s="955"/>
      <c r="LFN188" s="963"/>
      <c r="LFO188" s="2242"/>
      <c r="LFP188" s="1360"/>
      <c r="LFQ188" s="955"/>
      <c r="LFR188" s="1361"/>
      <c r="LFS188" s="1360"/>
      <c r="LFT188" s="1925"/>
      <c r="LFU188" s="955"/>
      <c r="LFV188" s="963"/>
      <c r="LFW188" s="2242"/>
      <c r="LFX188" s="1360"/>
      <c r="LFY188" s="955"/>
      <c r="LFZ188" s="1361"/>
      <c r="LGA188" s="1360"/>
      <c r="LGB188" s="1925"/>
      <c r="LGC188" s="955"/>
      <c r="LGD188" s="963"/>
      <c r="LGE188" s="2242"/>
      <c r="LGF188" s="1360"/>
      <c r="LGG188" s="955"/>
      <c r="LGH188" s="1361"/>
      <c r="LGI188" s="1360"/>
      <c r="LGJ188" s="1925"/>
      <c r="LGK188" s="955"/>
      <c r="LGL188" s="963"/>
      <c r="LGM188" s="2242"/>
      <c r="LGN188" s="1360"/>
      <c r="LGO188" s="955"/>
      <c r="LGP188" s="1361"/>
      <c r="LGQ188" s="1360"/>
      <c r="LGR188" s="1925"/>
      <c r="LGS188" s="955"/>
      <c r="LGT188" s="963"/>
      <c r="LGU188" s="2242"/>
      <c r="LGV188" s="1360"/>
      <c r="LGW188" s="955"/>
      <c r="LGX188" s="1361"/>
      <c r="LGY188" s="1360"/>
      <c r="LGZ188" s="1925"/>
      <c r="LHA188" s="955"/>
      <c r="LHB188" s="963"/>
      <c r="LHC188" s="2242"/>
      <c r="LHD188" s="1360"/>
      <c r="LHE188" s="955"/>
      <c r="LHF188" s="1361"/>
      <c r="LHG188" s="1360"/>
      <c r="LHH188" s="1925"/>
      <c r="LHI188" s="955"/>
      <c r="LHJ188" s="963"/>
      <c r="LHK188" s="2242"/>
      <c r="LHL188" s="1360"/>
      <c r="LHM188" s="955"/>
      <c r="LHN188" s="1361"/>
      <c r="LHO188" s="1360"/>
      <c r="LHP188" s="1925"/>
      <c r="LHQ188" s="955"/>
      <c r="LHR188" s="963"/>
      <c r="LHS188" s="2242"/>
      <c r="LHT188" s="1360"/>
      <c r="LHU188" s="955"/>
      <c r="LHV188" s="1361"/>
      <c r="LHW188" s="1360"/>
      <c r="LHX188" s="1925"/>
      <c r="LHY188" s="955"/>
      <c r="LHZ188" s="963"/>
      <c r="LIA188" s="2242"/>
      <c r="LIB188" s="1360"/>
      <c r="LIC188" s="955"/>
      <c r="LID188" s="1361"/>
      <c r="LIE188" s="1360"/>
      <c r="LIF188" s="1925"/>
      <c r="LIG188" s="955"/>
      <c r="LIH188" s="963"/>
      <c r="LII188" s="2242"/>
      <c r="LIJ188" s="1360"/>
      <c r="LIK188" s="955"/>
      <c r="LIL188" s="1361"/>
      <c r="LIM188" s="1360"/>
      <c r="LIN188" s="1925"/>
      <c r="LIO188" s="955"/>
      <c r="LIP188" s="963"/>
      <c r="LIQ188" s="2242"/>
      <c r="LIR188" s="1360"/>
      <c r="LIS188" s="955"/>
      <c r="LIT188" s="1361"/>
      <c r="LIU188" s="1360"/>
      <c r="LIV188" s="1925"/>
      <c r="LIW188" s="955"/>
      <c r="LIX188" s="963"/>
      <c r="LIY188" s="2242"/>
      <c r="LIZ188" s="1360"/>
      <c r="LJA188" s="955"/>
      <c r="LJB188" s="1361"/>
      <c r="LJC188" s="1360"/>
      <c r="LJD188" s="1925"/>
      <c r="LJE188" s="955"/>
      <c r="LJF188" s="963"/>
      <c r="LJG188" s="2242"/>
      <c r="LJH188" s="1360"/>
      <c r="LJI188" s="955"/>
      <c r="LJJ188" s="1361"/>
      <c r="LJK188" s="1360"/>
      <c r="LJL188" s="1925"/>
      <c r="LJM188" s="955"/>
      <c r="LJN188" s="963"/>
      <c r="LJO188" s="2242"/>
      <c r="LJP188" s="1360"/>
      <c r="LJQ188" s="955"/>
      <c r="LJR188" s="1361"/>
      <c r="LJS188" s="1360"/>
      <c r="LJT188" s="1925"/>
      <c r="LJU188" s="955"/>
      <c r="LJV188" s="963"/>
      <c r="LJW188" s="2242"/>
      <c r="LJX188" s="1360"/>
      <c r="LJY188" s="955"/>
      <c r="LJZ188" s="1361"/>
      <c r="LKA188" s="1360"/>
      <c r="LKB188" s="1925"/>
      <c r="LKC188" s="955"/>
      <c r="LKD188" s="963"/>
      <c r="LKE188" s="2242"/>
      <c r="LKF188" s="1360"/>
      <c r="LKG188" s="955"/>
      <c r="LKH188" s="1361"/>
      <c r="LKI188" s="1360"/>
      <c r="LKJ188" s="1925"/>
      <c r="LKK188" s="955"/>
      <c r="LKL188" s="963"/>
      <c r="LKM188" s="2242"/>
      <c r="LKN188" s="1360"/>
      <c r="LKO188" s="955"/>
      <c r="LKP188" s="1361"/>
      <c r="LKQ188" s="1360"/>
      <c r="LKR188" s="1925"/>
      <c r="LKS188" s="955"/>
      <c r="LKT188" s="963"/>
      <c r="LKU188" s="2242"/>
      <c r="LKV188" s="1360"/>
      <c r="LKW188" s="955"/>
      <c r="LKX188" s="1361"/>
      <c r="LKY188" s="1360"/>
      <c r="LKZ188" s="1925"/>
      <c r="LLA188" s="955"/>
      <c r="LLB188" s="963"/>
      <c r="LLC188" s="2242"/>
      <c r="LLD188" s="1360"/>
      <c r="LLE188" s="955"/>
      <c r="LLF188" s="1361"/>
      <c r="LLG188" s="1360"/>
      <c r="LLH188" s="1925"/>
      <c r="LLI188" s="955"/>
      <c r="LLJ188" s="963"/>
      <c r="LLK188" s="2242"/>
      <c r="LLL188" s="1360"/>
      <c r="LLM188" s="955"/>
      <c r="LLN188" s="1361"/>
      <c r="LLO188" s="1360"/>
      <c r="LLP188" s="1925"/>
      <c r="LLQ188" s="955"/>
      <c r="LLR188" s="963"/>
      <c r="LLS188" s="2242"/>
      <c r="LLT188" s="1360"/>
      <c r="LLU188" s="955"/>
      <c r="LLV188" s="1361"/>
      <c r="LLW188" s="1360"/>
      <c r="LLX188" s="1925"/>
      <c r="LLY188" s="955"/>
      <c r="LLZ188" s="963"/>
      <c r="LMA188" s="2242"/>
      <c r="LMB188" s="1360"/>
      <c r="LMC188" s="955"/>
      <c r="LMD188" s="1361"/>
      <c r="LME188" s="1360"/>
      <c r="LMF188" s="1925"/>
      <c r="LMG188" s="955"/>
      <c r="LMH188" s="963"/>
      <c r="LMI188" s="2242"/>
      <c r="LMJ188" s="1360"/>
      <c r="LMK188" s="955"/>
      <c r="LML188" s="1361"/>
      <c r="LMM188" s="1360"/>
      <c r="LMN188" s="1925"/>
      <c r="LMO188" s="955"/>
      <c r="LMP188" s="963"/>
      <c r="LMQ188" s="2242"/>
      <c r="LMR188" s="1360"/>
      <c r="LMS188" s="955"/>
      <c r="LMT188" s="1361"/>
      <c r="LMU188" s="1360"/>
      <c r="LMV188" s="1925"/>
      <c r="LMW188" s="955"/>
      <c r="LMX188" s="963"/>
      <c r="LMY188" s="2242"/>
      <c r="LMZ188" s="1360"/>
      <c r="LNA188" s="955"/>
      <c r="LNB188" s="1361"/>
      <c r="LNC188" s="1360"/>
      <c r="LND188" s="1925"/>
      <c r="LNE188" s="955"/>
      <c r="LNF188" s="963"/>
      <c r="LNG188" s="2242"/>
      <c r="LNH188" s="1360"/>
      <c r="LNI188" s="955"/>
      <c r="LNJ188" s="1361"/>
      <c r="LNK188" s="1360"/>
      <c r="LNL188" s="1925"/>
      <c r="LNM188" s="955"/>
      <c r="LNN188" s="963"/>
      <c r="LNO188" s="2242"/>
      <c r="LNP188" s="1360"/>
      <c r="LNQ188" s="955"/>
      <c r="LNR188" s="1361"/>
      <c r="LNS188" s="1360"/>
      <c r="LNT188" s="1925"/>
      <c r="LNU188" s="955"/>
      <c r="LNV188" s="963"/>
      <c r="LNW188" s="2242"/>
      <c r="LNX188" s="1360"/>
      <c r="LNY188" s="955"/>
      <c r="LNZ188" s="1361"/>
      <c r="LOA188" s="1360"/>
      <c r="LOB188" s="1925"/>
      <c r="LOC188" s="955"/>
      <c r="LOD188" s="963"/>
      <c r="LOE188" s="2242"/>
      <c r="LOF188" s="1360"/>
      <c r="LOG188" s="955"/>
      <c r="LOH188" s="1361"/>
      <c r="LOI188" s="1360"/>
      <c r="LOJ188" s="1925"/>
      <c r="LOK188" s="955"/>
      <c r="LOL188" s="963"/>
      <c r="LOM188" s="2242"/>
      <c r="LON188" s="1360"/>
      <c r="LOO188" s="955"/>
      <c r="LOP188" s="1361"/>
      <c r="LOQ188" s="1360"/>
      <c r="LOR188" s="1925"/>
      <c r="LOS188" s="955"/>
      <c r="LOT188" s="963"/>
      <c r="LOU188" s="2242"/>
      <c r="LOV188" s="1360"/>
      <c r="LOW188" s="955"/>
      <c r="LOX188" s="1361"/>
      <c r="LOY188" s="1360"/>
      <c r="LOZ188" s="1925"/>
      <c r="LPA188" s="955"/>
      <c r="LPB188" s="963"/>
      <c r="LPC188" s="2242"/>
      <c r="LPD188" s="1360"/>
      <c r="LPE188" s="955"/>
      <c r="LPF188" s="1361"/>
      <c r="LPG188" s="1360"/>
      <c r="LPH188" s="1925"/>
      <c r="LPI188" s="955"/>
      <c r="LPJ188" s="963"/>
      <c r="LPK188" s="2242"/>
      <c r="LPL188" s="1360"/>
      <c r="LPM188" s="955"/>
      <c r="LPN188" s="1361"/>
      <c r="LPO188" s="1360"/>
      <c r="LPP188" s="1925"/>
      <c r="LPQ188" s="955"/>
      <c r="LPR188" s="963"/>
      <c r="LPS188" s="2242"/>
      <c r="LPT188" s="1360"/>
      <c r="LPU188" s="955"/>
      <c r="LPV188" s="1361"/>
      <c r="LPW188" s="1360"/>
      <c r="LPX188" s="1925"/>
      <c r="LPY188" s="955"/>
      <c r="LPZ188" s="963"/>
      <c r="LQA188" s="2242"/>
      <c r="LQB188" s="1360"/>
      <c r="LQC188" s="955"/>
      <c r="LQD188" s="1361"/>
      <c r="LQE188" s="1360"/>
      <c r="LQF188" s="1925"/>
      <c r="LQG188" s="955"/>
      <c r="LQH188" s="963"/>
      <c r="LQI188" s="2242"/>
      <c r="LQJ188" s="1360"/>
      <c r="LQK188" s="955"/>
      <c r="LQL188" s="1361"/>
      <c r="LQM188" s="1360"/>
      <c r="LQN188" s="1925"/>
      <c r="LQO188" s="955"/>
      <c r="LQP188" s="963"/>
      <c r="LQQ188" s="2242"/>
      <c r="LQR188" s="1360"/>
      <c r="LQS188" s="955"/>
      <c r="LQT188" s="1361"/>
      <c r="LQU188" s="1360"/>
      <c r="LQV188" s="1925"/>
      <c r="LQW188" s="955"/>
      <c r="LQX188" s="963"/>
      <c r="LQY188" s="2242"/>
      <c r="LQZ188" s="1360"/>
      <c r="LRA188" s="955"/>
      <c r="LRB188" s="1361"/>
      <c r="LRC188" s="1360"/>
      <c r="LRD188" s="1925"/>
      <c r="LRE188" s="955"/>
      <c r="LRF188" s="963"/>
      <c r="LRG188" s="2242"/>
      <c r="LRH188" s="1360"/>
      <c r="LRI188" s="955"/>
      <c r="LRJ188" s="1361"/>
      <c r="LRK188" s="1360"/>
      <c r="LRL188" s="1925"/>
      <c r="LRM188" s="955"/>
      <c r="LRN188" s="963"/>
      <c r="LRO188" s="2242"/>
      <c r="LRP188" s="1360"/>
      <c r="LRQ188" s="955"/>
      <c r="LRR188" s="1361"/>
      <c r="LRS188" s="1360"/>
      <c r="LRT188" s="1925"/>
      <c r="LRU188" s="955"/>
      <c r="LRV188" s="963"/>
      <c r="LRW188" s="2242"/>
      <c r="LRX188" s="1360"/>
      <c r="LRY188" s="955"/>
      <c r="LRZ188" s="1361"/>
      <c r="LSA188" s="1360"/>
      <c r="LSB188" s="1925"/>
      <c r="LSC188" s="955"/>
      <c r="LSD188" s="963"/>
      <c r="LSE188" s="2242"/>
      <c r="LSF188" s="1360"/>
      <c r="LSG188" s="955"/>
      <c r="LSH188" s="1361"/>
      <c r="LSI188" s="1360"/>
      <c r="LSJ188" s="1925"/>
      <c r="LSK188" s="955"/>
      <c r="LSL188" s="963"/>
      <c r="LSM188" s="2242"/>
      <c r="LSN188" s="1360"/>
      <c r="LSO188" s="955"/>
      <c r="LSP188" s="1361"/>
      <c r="LSQ188" s="1360"/>
      <c r="LSR188" s="1925"/>
      <c r="LSS188" s="955"/>
      <c r="LST188" s="963"/>
      <c r="LSU188" s="2242"/>
      <c r="LSV188" s="1360"/>
      <c r="LSW188" s="955"/>
      <c r="LSX188" s="1361"/>
      <c r="LSY188" s="1360"/>
      <c r="LSZ188" s="1925"/>
      <c r="LTA188" s="955"/>
      <c r="LTB188" s="963"/>
      <c r="LTC188" s="2242"/>
      <c r="LTD188" s="1360"/>
      <c r="LTE188" s="955"/>
      <c r="LTF188" s="1361"/>
      <c r="LTG188" s="1360"/>
      <c r="LTH188" s="1925"/>
      <c r="LTI188" s="955"/>
      <c r="LTJ188" s="963"/>
      <c r="LTK188" s="2242"/>
      <c r="LTL188" s="1360"/>
      <c r="LTM188" s="955"/>
      <c r="LTN188" s="1361"/>
      <c r="LTO188" s="1360"/>
      <c r="LTP188" s="1925"/>
      <c r="LTQ188" s="955"/>
      <c r="LTR188" s="963"/>
      <c r="LTS188" s="2242"/>
      <c r="LTT188" s="1360"/>
      <c r="LTU188" s="955"/>
      <c r="LTV188" s="1361"/>
      <c r="LTW188" s="1360"/>
      <c r="LTX188" s="1925"/>
      <c r="LTY188" s="955"/>
      <c r="LTZ188" s="963"/>
      <c r="LUA188" s="2242"/>
      <c r="LUB188" s="1360"/>
      <c r="LUC188" s="955"/>
      <c r="LUD188" s="1361"/>
      <c r="LUE188" s="1360"/>
      <c r="LUF188" s="1925"/>
      <c r="LUG188" s="955"/>
      <c r="LUH188" s="963"/>
      <c r="LUI188" s="2242"/>
      <c r="LUJ188" s="1360"/>
      <c r="LUK188" s="955"/>
      <c r="LUL188" s="1361"/>
      <c r="LUM188" s="1360"/>
      <c r="LUN188" s="1925"/>
      <c r="LUO188" s="955"/>
      <c r="LUP188" s="963"/>
      <c r="LUQ188" s="2242"/>
      <c r="LUR188" s="1360"/>
      <c r="LUS188" s="955"/>
      <c r="LUT188" s="1361"/>
      <c r="LUU188" s="1360"/>
      <c r="LUV188" s="1925"/>
      <c r="LUW188" s="955"/>
      <c r="LUX188" s="963"/>
      <c r="LUY188" s="2242"/>
      <c r="LUZ188" s="1360"/>
      <c r="LVA188" s="955"/>
      <c r="LVB188" s="1361"/>
      <c r="LVC188" s="1360"/>
      <c r="LVD188" s="1925"/>
      <c r="LVE188" s="955"/>
      <c r="LVF188" s="963"/>
      <c r="LVG188" s="2242"/>
      <c r="LVH188" s="1360"/>
      <c r="LVI188" s="955"/>
      <c r="LVJ188" s="1361"/>
      <c r="LVK188" s="1360"/>
      <c r="LVL188" s="1925"/>
      <c r="LVM188" s="955"/>
      <c r="LVN188" s="963"/>
      <c r="LVO188" s="2242"/>
      <c r="LVP188" s="1360"/>
      <c r="LVQ188" s="955"/>
      <c r="LVR188" s="1361"/>
      <c r="LVS188" s="1360"/>
      <c r="LVT188" s="1925"/>
      <c r="LVU188" s="955"/>
      <c r="LVV188" s="963"/>
      <c r="LVW188" s="2242"/>
      <c r="LVX188" s="1360"/>
      <c r="LVY188" s="955"/>
      <c r="LVZ188" s="1361"/>
      <c r="LWA188" s="1360"/>
      <c r="LWB188" s="1925"/>
      <c r="LWC188" s="955"/>
      <c r="LWD188" s="963"/>
      <c r="LWE188" s="2242"/>
      <c r="LWF188" s="1360"/>
      <c r="LWG188" s="955"/>
      <c r="LWH188" s="1361"/>
      <c r="LWI188" s="1360"/>
      <c r="LWJ188" s="1925"/>
      <c r="LWK188" s="955"/>
      <c r="LWL188" s="963"/>
      <c r="LWM188" s="2242"/>
      <c r="LWN188" s="1360"/>
      <c r="LWO188" s="955"/>
      <c r="LWP188" s="1361"/>
      <c r="LWQ188" s="1360"/>
      <c r="LWR188" s="1925"/>
      <c r="LWS188" s="955"/>
      <c r="LWT188" s="963"/>
      <c r="LWU188" s="2242"/>
      <c r="LWV188" s="1360"/>
      <c r="LWW188" s="955"/>
      <c r="LWX188" s="1361"/>
      <c r="LWY188" s="1360"/>
      <c r="LWZ188" s="1925"/>
      <c r="LXA188" s="955"/>
      <c r="LXB188" s="963"/>
      <c r="LXC188" s="2242"/>
      <c r="LXD188" s="1360"/>
      <c r="LXE188" s="955"/>
      <c r="LXF188" s="1361"/>
      <c r="LXG188" s="1360"/>
      <c r="LXH188" s="1925"/>
      <c r="LXI188" s="955"/>
      <c r="LXJ188" s="963"/>
      <c r="LXK188" s="2242"/>
      <c r="LXL188" s="1360"/>
      <c r="LXM188" s="955"/>
      <c r="LXN188" s="1361"/>
      <c r="LXO188" s="1360"/>
      <c r="LXP188" s="1925"/>
      <c r="LXQ188" s="955"/>
      <c r="LXR188" s="963"/>
      <c r="LXS188" s="2242"/>
      <c r="LXT188" s="1360"/>
      <c r="LXU188" s="955"/>
      <c r="LXV188" s="1361"/>
      <c r="LXW188" s="1360"/>
      <c r="LXX188" s="1925"/>
      <c r="LXY188" s="955"/>
      <c r="LXZ188" s="963"/>
      <c r="LYA188" s="2242"/>
      <c r="LYB188" s="1360"/>
      <c r="LYC188" s="955"/>
      <c r="LYD188" s="1361"/>
      <c r="LYE188" s="1360"/>
      <c r="LYF188" s="1925"/>
      <c r="LYG188" s="955"/>
      <c r="LYH188" s="963"/>
      <c r="LYI188" s="2242"/>
      <c r="LYJ188" s="1360"/>
      <c r="LYK188" s="955"/>
      <c r="LYL188" s="1361"/>
      <c r="LYM188" s="1360"/>
      <c r="LYN188" s="1925"/>
      <c r="LYO188" s="955"/>
      <c r="LYP188" s="963"/>
      <c r="LYQ188" s="2242"/>
      <c r="LYR188" s="1360"/>
      <c r="LYS188" s="955"/>
      <c r="LYT188" s="1361"/>
      <c r="LYU188" s="1360"/>
      <c r="LYV188" s="1925"/>
      <c r="LYW188" s="955"/>
      <c r="LYX188" s="963"/>
      <c r="LYY188" s="2242"/>
      <c r="LYZ188" s="1360"/>
      <c r="LZA188" s="955"/>
      <c r="LZB188" s="1361"/>
      <c r="LZC188" s="1360"/>
      <c r="LZD188" s="1925"/>
      <c r="LZE188" s="955"/>
      <c r="LZF188" s="963"/>
      <c r="LZG188" s="2242"/>
      <c r="LZH188" s="1360"/>
      <c r="LZI188" s="955"/>
      <c r="LZJ188" s="1361"/>
      <c r="LZK188" s="1360"/>
      <c r="LZL188" s="1925"/>
      <c r="LZM188" s="955"/>
      <c r="LZN188" s="963"/>
      <c r="LZO188" s="2242"/>
      <c r="LZP188" s="1360"/>
      <c r="LZQ188" s="955"/>
      <c r="LZR188" s="1361"/>
      <c r="LZS188" s="1360"/>
      <c r="LZT188" s="1925"/>
      <c r="LZU188" s="955"/>
      <c r="LZV188" s="963"/>
      <c r="LZW188" s="2242"/>
      <c r="LZX188" s="1360"/>
      <c r="LZY188" s="955"/>
      <c r="LZZ188" s="1361"/>
      <c r="MAA188" s="1360"/>
      <c r="MAB188" s="1925"/>
      <c r="MAC188" s="955"/>
      <c r="MAD188" s="963"/>
      <c r="MAE188" s="2242"/>
      <c r="MAF188" s="1360"/>
      <c r="MAG188" s="955"/>
      <c r="MAH188" s="1361"/>
      <c r="MAI188" s="1360"/>
      <c r="MAJ188" s="1925"/>
      <c r="MAK188" s="955"/>
      <c r="MAL188" s="963"/>
      <c r="MAM188" s="2242"/>
      <c r="MAN188" s="1360"/>
      <c r="MAO188" s="955"/>
      <c r="MAP188" s="1361"/>
      <c r="MAQ188" s="1360"/>
      <c r="MAR188" s="1925"/>
      <c r="MAS188" s="955"/>
      <c r="MAT188" s="963"/>
      <c r="MAU188" s="2242"/>
      <c r="MAV188" s="1360"/>
      <c r="MAW188" s="955"/>
      <c r="MAX188" s="1361"/>
      <c r="MAY188" s="1360"/>
      <c r="MAZ188" s="1925"/>
      <c r="MBA188" s="955"/>
      <c r="MBB188" s="963"/>
      <c r="MBC188" s="2242"/>
      <c r="MBD188" s="1360"/>
      <c r="MBE188" s="955"/>
      <c r="MBF188" s="1361"/>
      <c r="MBG188" s="1360"/>
      <c r="MBH188" s="1925"/>
      <c r="MBI188" s="955"/>
      <c r="MBJ188" s="963"/>
      <c r="MBK188" s="2242"/>
      <c r="MBL188" s="1360"/>
      <c r="MBM188" s="955"/>
      <c r="MBN188" s="1361"/>
      <c r="MBO188" s="1360"/>
      <c r="MBP188" s="1925"/>
      <c r="MBQ188" s="955"/>
      <c r="MBR188" s="963"/>
      <c r="MBS188" s="2242"/>
      <c r="MBT188" s="1360"/>
      <c r="MBU188" s="955"/>
      <c r="MBV188" s="1361"/>
      <c r="MBW188" s="1360"/>
      <c r="MBX188" s="1925"/>
      <c r="MBY188" s="955"/>
      <c r="MBZ188" s="963"/>
      <c r="MCA188" s="2242"/>
      <c r="MCB188" s="1360"/>
      <c r="MCC188" s="955"/>
      <c r="MCD188" s="1361"/>
      <c r="MCE188" s="1360"/>
      <c r="MCF188" s="1925"/>
      <c r="MCG188" s="955"/>
      <c r="MCH188" s="963"/>
      <c r="MCI188" s="2242"/>
      <c r="MCJ188" s="1360"/>
      <c r="MCK188" s="955"/>
      <c r="MCL188" s="1361"/>
      <c r="MCM188" s="1360"/>
      <c r="MCN188" s="1925"/>
      <c r="MCO188" s="955"/>
      <c r="MCP188" s="963"/>
      <c r="MCQ188" s="2242"/>
      <c r="MCR188" s="1360"/>
      <c r="MCS188" s="955"/>
      <c r="MCT188" s="1361"/>
      <c r="MCU188" s="1360"/>
      <c r="MCV188" s="1925"/>
      <c r="MCW188" s="955"/>
      <c r="MCX188" s="963"/>
      <c r="MCY188" s="2242"/>
      <c r="MCZ188" s="1360"/>
      <c r="MDA188" s="955"/>
      <c r="MDB188" s="1361"/>
      <c r="MDC188" s="1360"/>
      <c r="MDD188" s="1925"/>
      <c r="MDE188" s="955"/>
      <c r="MDF188" s="963"/>
      <c r="MDG188" s="2242"/>
      <c r="MDH188" s="1360"/>
      <c r="MDI188" s="955"/>
      <c r="MDJ188" s="1361"/>
      <c r="MDK188" s="1360"/>
      <c r="MDL188" s="1925"/>
      <c r="MDM188" s="955"/>
      <c r="MDN188" s="963"/>
      <c r="MDO188" s="2242"/>
      <c r="MDP188" s="1360"/>
      <c r="MDQ188" s="955"/>
      <c r="MDR188" s="1361"/>
      <c r="MDS188" s="1360"/>
      <c r="MDT188" s="1925"/>
      <c r="MDU188" s="955"/>
      <c r="MDV188" s="963"/>
      <c r="MDW188" s="2242"/>
      <c r="MDX188" s="1360"/>
      <c r="MDY188" s="955"/>
      <c r="MDZ188" s="1361"/>
      <c r="MEA188" s="1360"/>
      <c r="MEB188" s="1925"/>
      <c r="MEC188" s="955"/>
      <c r="MED188" s="963"/>
      <c r="MEE188" s="2242"/>
      <c r="MEF188" s="1360"/>
      <c r="MEG188" s="955"/>
      <c r="MEH188" s="1361"/>
      <c r="MEI188" s="1360"/>
      <c r="MEJ188" s="1925"/>
      <c r="MEK188" s="955"/>
      <c r="MEL188" s="963"/>
      <c r="MEM188" s="2242"/>
      <c r="MEN188" s="1360"/>
      <c r="MEO188" s="955"/>
      <c r="MEP188" s="1361"/>
      <c r="MEQ188" s="1360"/>
      <c r="MER188" s="1925"/>
      <c r="MES188" s="955"/>
      <c r="MET188" s="963"/>
      <c r="MEU188" s="2242"/>
      <c r="MEV188" s="1360"/>
      <c r="MEW188" s="955"/>
      <c r="MEX188" s="1361"/>
      <c r="MEY188" s="1360"/>
      <c r="MEZ188" s="1925"/>
      <c r="MFA188" s="955"/>
      <c r="MFB188" s="963"/>
      <c r="MFC188" s="2242"/>
      <c r="MFD188" s="1360"/>
      <c r="MFE188" s="955"/>
      <c r="MFF188" s="1361"/>
      <c r="MFG188" s="1360"/>
      <c r="MFH188" s="1925"/>
      <c r="MFI188" s="955"/>
      <c r="MFJ188" s="963"/>
      <c r="MFK188" s="2242"/>
      <c r="MFL188" s="1360"/>
      <c r="MFM188" s="955"/>
      <c r="MFN188" s="1361"/>
      <c r="MFO188" s="1360"/>
      <c r="MFP188" s="1925"/>
      <c r="MFQ188" s="955"/>
      <c r="MFR188" s="963"/>
      <c r="MFS188" s="2242"/>
      <c r="MFT188" s="1360"/>
      <c r="MFU188" s="955"/>
      <c r="MFV188" s="1361"/>
      <c r="MFW188" s="1360"/>
      <c r="MFX188" s="1925"/>
      <c r="MFY188" s="955"/>
      <c r="MFZ188" s="963"/>
      <c r="MGA188" s="2242"/>
      <c r="MGB188" s="1360"/>
      <c r="MGC188" s="955"/>
      <c r="MGD188" s="1361"/>
      <c r="MGE188" s="1360"/>
      <c r="MGF188" s="1925"/>
      <c r="MGG188" s="955"/>
      <c r="MGH188" s="963"/>
      <c r="MGI188" s="2242"/>
      <c r="MGJ188" s="1360"/>
      <c r="MGK188" s="955"/>
      <c r="MGL188" s="1361"/>
      <c r="MGM188" s="1360"/>
      <c r="MGN188" s="1925"/>
      <c r="MGO188" s="955"/>
      <c r="MGP188" s="963"/>
      <c r="MGQ188" s="2242"/>
      <c r="MGR188" s="1360"/>
      <c r="MGS188" s="955"/>
      <c r="MGT188" s="1361"/>
      <c r="MGU188" s="1360"/>
      <c r="MGV188" s="1925"/>
      <c r="MGW188" s="955"/>
      <c r="MGX188" s="963"/>
      <c r="MGY188" s="2242"/>
      <c r="MGZ188" s="1360"/>
      <c r="MHA188" s="955"/>
      <c r="MHB188" s="1361"/>
      <c r="MHC188" s="1360"/>
      <c r="MHD188" s="1925"/>
      <c r="MHE188" s="955"/>
      <c r="MHF188" s="963"/>
      <c r="MHG188" s="2242"/>
      <c r="MHH188" s="1360"/>
      <c r="MHI188" s="955"/>
      <c r="MHJ188" s="1361"/>
      <c r="MHK188" s="1360"/>
      <c r="MHL188" s="1925"/>
      <c r="MHM188" s="955"/>
      <c r="MHN188" s="963"/>
      <c r="MHO188" s="2242"/>
      <c r="MHP188" s="1360"/>
      <c r="MHQ188" s="955"/>
      <c r="MHR188" s="1361"/>
      <c r="MHS188" s="1360"/>
      <c r="MHT188" s="1925"/>
      <c r="MHU188" s="955"/>
      <c r="MHV188" s="963"/>
      <c r="MHW188" s="2242"/>
      <c r="MHX188" s="1360"/>
      <c r="MHY188" s="955"/>
      <c r="MHZ188" s="1361"/>
      <c r="MIA188" s="1360"/>
      <c r="MIB188" s="1925"/>
      <c r="MIC188" s="955"/>
      <c r="MID188" s="963"/>
      <c r="MIE188" s="2242"/>
      <c r="MIF188" s="1360"/>
      <c r="MIG188" s="955"/>
      <c r="MIH188" s="1361"/>
      <c r="MII188" s="1360"/>
      <c r="MIJ188" s="1925"/>
      <c r="MIK188" s="955"/>
      <c r="MIL188" s="963"/>
      <c r="MIM188" s="2242"/>
      <c r="MIN188" s="1360"/>
      <c r="MIO188" s="955"/>
      <c r="MIP188" s="1361"/>
      <c r="MIQ188" s="1360"/>
      <c r="MIR188" s="1925"/>
      <c r="MIS188" s="955"/>
      <c r="MIT188" s="963"/>
      <c r="MIU188" s="2242"/>
      <c r="MIV188" s="1360"/>
      <c r="MIW188" s="955"/>
      <c r="MIX188" s="1361"/>
      <c r="MIY188" s="1360"/>
      <c r="MIZ188" s="1925"/>
      <c r="MJA188" s="955"/>
      <c r="MJB188" s="963"/>
      <c r="MJC188" s="2242"/>
      <c r="MJD188" s="1360"/>
      <c r="MJE188" s="955"/>
      <c r="MJF188" s="1361"/>
      <c r="MJG188" s="1360"/>
      <c r="MJH188" s="1925"/>
      <c r="MJI188" s="955"/>
      <c r="MJJ188" s="963"/>
      <c r="MJK188" s="2242"/>
      <c r="MJL188" s="1360"/>
      <c r="MJM188" s="955"/>
      <c r="MJN188" s="1361"/>
      <c r="MJO188" s="1360"/>
      <c r="MJP188" s="1925"/>
      <c r="MJQ188" s="955"/>
      <c r="MJR188" s="963"/>
      <c r="MJS188" s="2242"/>
      <c r="MJT188" s="1360"/>
      <c r="MJU188" s="955"/>
      <c r="MJV188" s="1361"/>
      <c r="MJW188" s="1360"/>
      <c r="MJX188" s="1925"/>
      <c r="MJY188" s="955"/>
      <c r="MJZ188" s="963"/>
      <c r="MKA188" s="2242"/>
      <c r="MKB188" s="1360"/>
      <c r="MKC188" s="955"/>
      <c r="MKD188" s="1361"/>
      <c r="MKE188" s="1360"/>
      <c r="MKF188" s="1925"/>
      <c r="MKG188" s="955"/>
      <c r="MKH188" s="963"/>
      <c r="MKI188" s="2242"/>
      <c r="MKJ188" s="1360"/>
      <c r="MKK188" s="955"/>
      <c r="MKL188" s="1361"/>
      <c r="MKM188" s="1360"/>
      <c r="MKN188" s="1925"/>
      <c r="MKO188" s="955"/>
      <c r="MKP188" s="963"/>
      <c r="MKQ188" s="2242"/>
      <c r="MKR188" s="1360"/>
      <c r="MKS188" s="955"/>
      <c r="MKT188" s="1361"/>
      <c r="MKU188" s="1360"/>
      <c r="MKV188" s="1925"/>
      <c r="MKW188" s="955"/>
      <c r="MKX188" s="963"/>
      <c r="MKY188" s="2242"/>
      <c r="MKZ188" s="1360"/>
      <c r="MLA188" s="955"/>
      <c r="MLB188" s="1361"/>
      <c r="MLC188" s="1360"/>
      <c r="MLD188" s="1925"/>
      <c r="MLE188" s="955"/>
      <c r="MLF188" s="963"/>
      <c r="MLG188" s="2242"/>
      <c r="MLH188" s="1360"/>
      <c r="MLI188" s="955"/>
      <c r="MLJ188" s="1361"/>
      <c r="MLK188" s="1360"/>
      <c r="MLL188" s="1925"/>
      <c r="MLM188" s="955"/>
      <c r="MLN188" s="963"/>
      <c r="MLO188" s="2242"/>
      <c r="MLP188" s="1360"/>
      <c r="MLQ188" s="955"/>
      <c r="MLR188" s="1361"/>
      <c r="MLS188" s="1360"/>
      <c r="MLT188" s="1925"/>
      <c r="MLU188" s="955"/>
      <c r="MLV188" s="963"/>
      <c r="MLW188" s="2242"/>
      <c r="MLX188" s="1360"/>
      <c r="MLY188" s="955"/>
      <c r="MLZ188" s="1361"/>
      <c r="MMA188" s="1360"/>
      <c r="MMB188" s="1925"/>
      <c r="MMC188" s="955"/>
      <c r="MMD188" s="963"/>
      <c r="MME188" s="2242"/>
      <c r="MMF188" s="1360"/>
      <c r="MMG188" s="955"/>
      <c r="MMH188" s="1361"/>
      <c r="MMI188" s="1360"/>
      <c r="MMJ188" s="1925"/>
      <c r="MMK188" s="955"/>
      <c r="MML188" s="963"/>
      <c r="MMM188" s="2242"/>
      <c r="MMN188" s="1360"/>
      <c r="MMO188" s="955"/>
      <c r="MMP188" s="1361"/>
      <c r="MMQ188" s="1360"/>
      <c r="MMR188" s="1925"/>
      <c r="MMS188" s="955"/>
      <c r="MMT188" s="963"/>
      <c r="MMU188" s="2242"/>
      <c r="MMV188" s="1360"/>
      <c r="MMW188" s="955"/>
      <c r="MMX188" s="1361"/>
      <c r="MMY188" s="1360"/>
      <c r="MMZ188" s="1925"/>
      <c r="MNA188" s="955"/>
      <c r="MNB188" s="963"/>
      <c r="MNC188" s="2242"/>
      <c r="MND188" s="1360"/>
      <c r="MNE188" s="955"/>
      <c r="MNF188" s="1361"/>
      <c r="MNG188" s="1360"/>
      <c r="MNH188" s="1925"/>
      <c r="MNI188" s="955"/>
      <c r="MNJ188" s="963"/>
      <c r="MNK188" s="2242"/>
      <c r="MNL188" s="1360"/>
      <c r="MNM188" s="955"/>
      <c r="MNN188" s="1361"/>
      <c r="MNO188" s="1360"/>
      <c r="MNP188" s="1925"/>
      <c r="MNQ188" s="955"/>
      <c r="MNR188" s="963"/>
      <c r="MNS188" s="2242"/>
      <c r="MNT188" s="1360"/>
      <c r="MNU188" s="955"/>
      <c r="MNV188" s="1361"/>
      <c r="MNW188" s="1360"/>
      <c r="MNX188" s="1925"/>
      <c r="MNY188" s="955"/>
      <c r="MNZ188" s="963"/>
      <c r="MOA188" s="2242"/>
      <c r="MOB188" s="1360"/>
      <c r="MOC188" s="955"/>
      <c r="MOD188" s="1361"/>
      <c r="MOE188" s="1360"/>
      <c r="MOF188" s="1925"/>
      <c r="MOG188" s="955"/>
      <c r="MOH188" s="963"/>
      <c r="MOI188" s="2242"/>
      <c r="MOJ188" s="1360"/>
      <c r="MOK188" s="955"/>
      <c r="MOL188" s="1361"/>
      <c r="MOM188" s="1360"/>
      <c r="MON188" s="1925"/>
      <c r="MOO188" s="955"/>
      <c r="MOP188" s="963"/>
      <c r="MOQ188" s="2242"/>
      <c r="MOR188" s="1360"/>
      <c r="MOS188" s="955"/>
      <c r="MOT188" s="1361"/>
      <c r="MOU188" s="1360"/>
      <c r="MOV188" s="1925"/>
      <c r="MOW188" s="955"/>
      <c r="MOX188" s="963"/>
      <c r="MOY188" s="2242"/>
      <c r="MOZ188" s="1360"/>
      <c r="MPA188" s="955"/>
      <c r="MPB188" s="1361"/>
      <c r="MPC188" s="1360"/>
      <c r="MPD188" s="1925"/>
      <c r="MPE188" s="955"/>
      <c r="MPF188" s="963"/>
      <c r="MPG188" s="2242"/>
      <c r="MPH188" s="1360"/>
      <c r="MPI188" s="955"/>
      <c r="MPJ188" s="1361"/>
      <c r="MPK188" s="1360"/>
      <c r="MPL188" s="1925"/>
      <c r="MPM188" s="955"/>
      <c r="MPN188" s="963"/>
      <c r="MPO188" s="2242"/>
      <c r="MPP188" s="1360"/>
      <c r="MPQ188" s="955"/>
      <c r="MPR188" s="1361"/>
      <c r="MPS188" s="1360"/>
      <c r="MPT188" s="1925"/>
      <c r="MPU188" s="955"/>
      <c r="MPV188" s="963"/>
      <c r="MPW188" s="2242"/>
      <c r="MPX188" s="1360"/>
      <c r="MPY188" s="955"/>
      <c r="MPZ188" s="1361"/>
      <c r="MQA188" s="1360"/>
      <c r="MQB188" s="1925"/>
      <c r="MQC188" s="955"/>
      <c r="MQD188" s="963"/>
      <c r="MQE188" s="2242"/>
      <c r="MQF188" s="1360"/>
      <c r="MQG188" s="955"/>
      <c r="MQH188" s="1361"/>
      <c r="MQI188" s="1360"/>
      <c r="MQJ188" s="1925"/>
      <c r="MQK188" s="955"/>
      <c r="MQL188" s="963"/>
      <c r="MQM188" s="2242"/>
      <c r="MQN188" s="1360"/>
      <c r="MQO188" s="955"/>
      <c r="MQP188" s="1361"/>
      <c r="MQQ188" s="1360"/>
      <c r="MQR188" s="1925"/>
      <c r="MQS188" s="955"/>
      <c r="MQT188" s="963"/>
      <c r="MQU188" s="2242"/>
      <c r="MQV188" s="1360"/>
      <c r="MQW188" s="955"/>
      <c r="MQX188" s="1361"/>
      <c r="MQY188" s="1360"/>
      <c r="MQZ188" s="1925"/>
      <c r="MRA188" s="955"/>
      <c r="MRB188" s="963"/>
      <c r="MRC188" s="2242"/>
      <c r="MRD188" s="1360"/>
      <c r="MRE188" s="955"/>
      <c r="MRF188" s="1361"/>
      <c r="MRG188" s="1360"/>
      <c r="MRH188" s="1925"/>
      <c r="MRI188" s="955"/>
      <c r="MRJ188" s="963"/>
      <c r="MRK188" s="2242"/>
      <c r="MRL188" s="1360"/>
      <c r="MRM188" s="955"/>
      <c r="MRN188" s="1361"/>
      <c r="MRO188" s="1360"/>
      <c r="MRP188" s="1925"/>
      <c r="MRQ188" s="955"/>
      <c r="MRR188" s="963"/>
      <c r="MRS188" s="2242"/>
      <c r="MRT188" s="1360"/>
      <c r="MRU188" s="955"/>
      <c r="MRV188" s="1361"/>
      <c r="MRW188" s="1360"/>
      <c r="MRX188" s="1925"/>
      <c r="MRY188" s="955"/>
      <c r="MRZ188" s="963"/>
      <c r="MSA188" s="2242"/>
      <c r="MSB188" s="1360"/>
      <c r="MSC188" s="955"/>
      <c r="MSD188" s="1361"/>
      <c r="MSE188" s="1360"/>
      <c r="MSF188" s="1925"/>
      <c r="MSG188" s="955"/>
      <c r="MSH188" s="963"/>
      <c r="MSI188" s="2242"/>
      <c r="MSJ188" s="1360"/>
      <c r="MSK188" s="955"/>
      <c r="MSL188" s="1361"/>
      <c r="MSM188" s="1360"/>
      <c r="MSN188" s="1925"/>
      <c r="MSO188" s="955"/>
      <c r="MSP188" s="963"/>
      <c r="MSQ188" s="2242"/>
      <c r="MSR188" s="1360"/>
      <c r="MSS188" s="955"/>
      <c r="MST188" s="1361"/>
      <c r="MSU188" s="1360"/>
      <c r="MSV188" s="1925"/>
      <c r="MSW188" s="955"/>
      <c r="MSX188" s="963"/>
      <c r="MSY188" s="2242"/>
      <c r="MSZ188" s="1360"/>
      <c r="MTA188" s="955"/>
      <c r="MTB188" s="1361"/>
      <c r="MTC188" s="1360"/>
      <c r="MTD188" s="1925"/>
      <c r="MTE188" s="955"/>
      <c r="MTF188" s="963"/>
      <c r="MTG188" s="2242"/>
      <c r="MTH188" s="1360"/>
      <c r="MTI188" s="955"/>
      <c r="MTJ188" s="1361"/>
      <c r="MTK188" s="1360"/>
      <c r="MTL188" s="1925"/>
      <c r="MTM188" s="955"/>
      <c r="MTN188" s="963"/>
      <c r="MTO188" s="2242"/>
      <c r="MTP188" s="1360"/>
      <c r="MTQ188" s="955"/>
      <c r="MTR188" s="1361"/>
      <c r="MTS188" s="1360"/>
      <c r="MTT188" s="1925"/>
      <c r="MTU188" s="955"/>
      <c r="MTV188" s="963"/>
      <c r="MTW188" s="2242"/>
      <c r="MTX188" s="1360"/>
      <c r="MTY188" s="955"/>
      <c r="MTZ188" s="1361"/>
      <c r="MUA188" s="1360"/>
      <c r="MUB188" s="1925"/>
      <c r="MUC188" s="955"/>
      <c r="MUD188" s="963"/>
      <c r="MUE188" s="2242"/>
      <c r="MUF188" s="1360"/>
      <c r="MUG188" s="955"/>
      <c r="MUH188" s="1361"/>
      <c r="MUI188" s="1360"/>
      <c r="MUJ188" s="1925"/>
      <c r="MUK188" s="955"/>
      <c r="MUL188" s="963"/>
      <c r="MUM188" s="2242"/>
      <c r="MUN188" s="1360"/>
      <c r="MUO188" s="955"/>
      <c r="MUP188" s="1361"/>
      <c r="MUQ188" s="1360"/>
      <c r="MUR188" s="1925"/>
      <c r="MUS188" s="955"/>
      <c r="MUT188" s="963"/>
      <c r="MUU188" s="2242"/>
      <c r="MUV188" s="1360"/>
      <c r="MUW188" s="955"/>
      <c r="MUX188" s="1361"/>
      <c r="MUY188" s="1360"/>
      <c r="MUZ188" s="1925"/>
      <c r="MVA188" s="955"/>
      <c r="MVB188" s="963"/>
      <c r="MVC188" s="2242"/>
      <c r="MVD188" s="1360"/>
      <c r="MVE188" s="955"/>
      <c r="MVF188" s="1361"/>
      <c r="MVG188" s="1360"/>
      <c r="MVH188" s="1925"/>
      <c r="MVI188" s="955"/>
      <c r="MVJ188" s="963"/>
      <c r="MVK188" s="2242"/>
      <c r="MVL188" s="1360"/>
      <c r="MVM188" s="955"/>
      <c r="MVN188" s="1361"/>
      <c r="MVO188" s="1360"/>
      <c r="MVP188" s="1925"/>
      <c r="MVQ188" s="955"/>
      <c r="MVR188" s="963"/>
      <c r="MVS188" s="2242"/>
      <c r="MVT188" s="1360"/>
      <c r="MVU188" s="955"/>
      <c r="MVV188" s="1361"/>
      <c r="MVW188" s="1360"/>
      <c r="MVX188" s="1925"/>
      <c r="MVY188" s="955"/>
      <c r="MVZ188" s="963"/>
      <c r="MWA188" s="2242"/>
      <c r="MWB188" s="1360"/>
      <c r="MWC188" s="955"/>
      <c r="MWD188" s="1361"/>
      <c r="MWE188" s="1360"/>
      <c r="MWF188" s="1925"/>
      <c r="MWG188" s="955"/>
      <c r="MWH188" s="963"/>
      <c r="MWI188" s="2242"/>
      <c r="MWJ188" s="1360"/>
      <c r="MWK188" s="955"/>
      <c r="MWL188" s="1361"/>
      <c r="MWM188" s="1360"/>
      <c r="MWN188" s="1925"/>
      <c r="MWO188" s="955"/>
      <c r="MWP188" s="963"/>
      <c r="MWQ188" s="2242"/>
      <c r="MWR188" s="1360"/>
      <c r="MWS188" s="955"/>
      <c r="MWT188" s="1361"/>
      <c r="MWU188" s="1360"/>
      <c r="MWV188" s="1925"/>
      <c r="MWW188" s="955"/>
      <c r="MWX188" s="963"/>
      <c r="MWY188" s="2242"/>
      <c r="MWZ188" s="1360"/>
      <c r="MXA188" s="955"/>
      <c r="MXB188" s="1361"/>
      <c r="MXC188" s="1360"/>
      <c r="MXD188" s="1925"/>
      <c r="MXE188" s="955"/>
      <c r="MXF188" s="963"/>
      <c r="MXG188" s="2242"/>
      <c r="MXH188" s="1360"/>
      <c r="MXI188" s="955"/>
      <c r="MXJ188" s="1361"/>
      <c r="MXK188" s="1360"/>
      <c r="MXL188" s="1925"/>
      <c r="MXM188" s="955"/>
      <c r="MXN188" s="963"/>
      <c r="MXO188" s="2242"/>
      <c r="MXP188" s="1360"/>
      <c r="MXQ188" s="955"/>
      <c r="MXR188" s="1361"/>
      <c r="MXS188" s="1360"/>
      <c r="MXT188" s="1925"/>
      <c r="MXU188" s="955"/>
      <c r="MXV188" s="963"/>
      <c r="MXW188" s="2242"/>
      <c r="MXX188" s="1360"/>
      <c r="MXY188" s="955"/>
      <c r="MXZ188" s="1361"/>
      <c r="MYA188" s="1360"/>
      <c r="MYB188" s="1925"/>
      <c r="MYC188" s="955"/>
      <c r="MYD188" s="963"/>
      <c r="MYE188" s="2242"/>
      <c r="MYF188" s="1360"/>
      <c r="MYG188" s="955"/>
      <c r="MYH188" s="1361"/>
      <c r="MYI188" s="1360"/>
      <c r="MYJ188" s="1925"/>
      <c r="MYK188" s="955"/>
      <c r="MYL188" s="963"/>
      <c r="MYM188" s="2242"/>
      <c r="MYN188" s="1360"/>
      <c r="MYO188" s="955"/>
      <c r="MYP188" s="1361"/>
      <c r="MYQ188" s="1360"/>
      <c r="MYR188" s="1925"/>
      <c r="MYS188" s="955"/>
      <c r="MYT188" s="963"/>
      <c r="MYU188" s="2242"/>
      <c r="MYV188" s="1360"/>
      <c r="MYW188" s="955"/>
      <c r="MYX188" s="1361"/>
      <c r="MYY188" s="1360"/>
      <c r="MYZ188" s="1925"/>
      <c r="MZA188" s="955"/>
      <c r="MZB188" s="963"/>
      <c r="MZC188" s="2242"/>
      <c r="MZD188" s="1360"/>
      <c r="MZE188" s="955"/>
      <c r="MZF188" s="1361"/>
      <c r="MZG188" s="1360"/>
      <c r="MZH188" s="1925"/>
      <c r="MZI188" s="955"/>
      <c r="MZJ188" s="963"/>
      <c r="MZK188" s="2242"/>
      <c r="MZL188" s="1360"/>
      <c r="MZM188" s="955"/>
      <c r="MZN188" s="1361"/>
      <c r="MZO188" s="1360"/>
      <c r="MZP188" s="1925"/>
      <c r="MZQ188" s="955"/>
      <c r="MZR188" s="963"/>
      <c r="MZS188" s="2242"/>
      <c r="MZT188" s="1360"/>
      <c r="MZU188" s="955"/>
      <c r="MZV188" s="1361"/>
      <c r="MZW188" s="1360"/>
      <c r="MZX188" s="1925"/>
      <c r="MZY188" s="955"/>
      <c r="MZZ188" s="963"/>
      <c r="NAA188" s="2242"/>
      <c r="NAB188" s="1360"/>
      <c r="NAC188" s="955"/>
      <c r="NAD188" s="1361"/>
      <c r="NAE188" s="1360"/>
      <c r="NAF188" s="1925"/>
      <c r="NAG188" s="955"/>
      <c r="NAH188" s="963"/>
      <c r="NAI188" s="2242"/>
      <c r="NAJ188" s="1360"/>
      <c r="NAK188" s="955"/>
      <c r="NAL188" s="1361"/>
      <c r="NAM188" s="1360"/>
      <c r="NAN188" s="1925"/>
      <c r="NAO188" s="955"/>
      <c r="NAP188" s="963"/>
      <c r="NAQ188" s="2242"/>
      <c r="NAR188" s="1360"/>
      <c r="NAS188" s="955"/>
      <c r="NAT188" s="1361"/>
      <c r="NAU188" s="1360"/>
      <c r="NAV188" s="1925"/>
      <c r="NAW188" s="955"/>
      <c r="NAX188" s="963"/>
      <c r="NAY188" s="2242"/>
      <c r="NAZ188" s="1360"/>
      <c r="NBA188" s="955"/>
      <c r="NBB188" s="1361"/>
      <c r="NBC188" s="1360"/>
      <c r="NBD188" s="1925"/>
      <c r="NBE188" s="955"/>
      <c r="NBF188" s="963"/>
      <c r="NBG188" s="2242"/>
      <c r="NBH188" s="1360"/>
      <c r="NBI188" s="955"/>
      <c r="NBJ188" s="1361"/>
      <c r="NBK188" s="1360"/>
      <c r="NBL188" s="1925"/>
      <c r="NBM188" s="955"/>
      <c r="NBN188" s="963"/>
      <c r="NBO188" s="2242"/>
      <c r="NBP188" s="1360"/>
      <c r="NBQ188" s="955"/>
      <c r="NBR188" s="1361"/>
      <c r="NBS188" s="1360"/>
      <c r="NBT188" s="1925"/>
      <c r="NBU188" s="955"/>
      <c r="NBV188" s="963"/>
      <c r="NBW188" s="2242"/>
      <c r="NBX188" s="1360"/>
      <c r="NBY188" s="955"/>
      <c r="NBZ188" s="1361"/>
      <c r="NCA188" s="1360"/>
      <c r="NCB188" s="1925"/>
      <c r="NCC188" s="955"/>
      <c r="NCD188" s="963"/>
      <c r="NCE188" s="2242"/>
      <c r="NCF188" s="1360"/>
      <c r="NCG188" s="955"/>
      <c r="NCH188" s="1361"/>
      <c r="NCI188" s="1360"/>
      <c r="NCJ188" s="1925"/>
      <c r="NCK188" s="955"/>
      <c r="NCL188" s="963"/>
      <c r="NCM188" s="2242"/>
      <c r="NCN188" s="1360"/>
      <c r="NCO188" s="955"/>
      <c r="NCP188" s="1361"/>
      <c r="NCQ188" s="1360"/>
      <c r="NCR188" s="1925"/>
      <c r="NCS188" s="955"/>
      <c r="NCT188" s="963"/>
      <c r="NCU188" s="2242"/>
      <c r="NCV188" s="1360"/>
      <c r="NCW188" s="955"/>
      <c r="NCX188" s="1361"/>
      <c r="NCY188" s="1360"/>
      <c r="NCZ188" s="1925"/>
      <c r="NDA188" s="955"/>
      <c r="NDB188" s="963"/>
      <c r="NDC188" s="2242"/>
      <c r="NDD188" s="1360"/>
      <c r="NDE188" s="955"/>
      <c r="NDF188" s="1361"/>
      <c r="NDG188" s="1360"/>
      <c r="NDH188" s="1925"/>
      <c r="NDI188" s="955"/>
      <c r="NDJ188" s="963"/>
      <c r="NDK188" s="2242"/>
      <c r="NDL188" s="1360"/>
      <c r="NDM188" s="955"/>
      <c r="NDN188" s="1361"/>
      <c r="NDO188" s="1360"/>
      <c r="NDP188" s="1925"/>
      <c r="NDQ188" s="955"/>
      <c r="NDR188" s="963"/>
      <c r="NDS188" s="2242"/>
      <c r="NDT188" s="1360"/>
      <c r="NDU188" s="955"/>
      <c r="NDV188" s="1361"/>
      <c r="NDW188" s="1360"/>
      <c r="NDX188" s="1925"/>
      <c r="NDY188" s="955"/>
      <c r="NDZ188" s="963"/>
      <c r="NEA188" s="2242"/>
      <c r="NEB188" s="1360"/>
      <c r="NEC188" s="955"/>
      <c r="NED188" s="1361"/>
      <c r="NEE188" s="1360"/>
      <c r="NEF188" s="1925"/>
      <c r="NEG188" s="955"/>
      <c r="NEH188" s="963"/>
      <c r="NEI188" s="2242"/>
      <c r="NEJ188" s="1360"/>
      <c r="NEK188" s="955"/>
      <c r="NEL188" s="1361"/>
      <c r="NEM188" s="1360"/>
      <c r="NEN188" s="1925"/>
      <c r="NEO188" s="955"/>
      <c r="NEP188" s="963"/>
      <c r="NEQ188" s="2242"/>
      <c r="NER188" s="1360"/>
      <c r="NES188" s="955"/>
      <c r="NET188" s="1361"/>
      <c r="NEU188" s="1360"/>
      <c r="NEV188" s="1925"/>
      <c r="NEW188" s="955"/>
      <c r="NEX188" s="963"/>
      <c r="NEY188" s="2242"/>
      <c r="NEZ188" s="1360"/>
      <c r="NFA188" s="955"/>
      <c r="NFB188" s="1361"/>
      <c r="NFC188" s="1360"/>
      <c r="NFD188" s="1925"/>
      <c r="NFE188" s="955"/>
      <c r="NFF188" s="963"/>
      <c r="NFG188" s="2242"/>
      <c r="NFH188" s="1360"/>
      <c r="NFI188" s="955"/>
      <c r="NFJ188" s="1361"/>
      <c r="NFK188" s="1360"/>
      <c r="NFL188" s="1925"/>
      <c r="NFM188" s="955"/>
      <c r="NFN188" s="963"/>
      <c r="NFO188" s="2242"/>
      <c r="NFP188" s="1360"/>
      <c r="NFQ188" s="955"/>
      <c r="NFR188" s="1361"/>
      <c r="NFS188" s="1360"/>
      <c r="NFT188" s="1925"/>
      <c r="NFU188" s="955"/>
      <c r="NFV188" s="963"/>
      <c r="NFW188" s="2242"/>
      <c r="NFX188" s="1360"/>
      <c r="NFY188" s="955"/>
      <c r="NFZ188" s="1361"/>
      <c r="NGA188" s="1360"/>
      <c r="NGB188" s="1925"/>
      <c r="NGC188" s="955"/>
      <c r="NGD188" s="963"/>
      <c r="NGE188" s="2242"/>
      <c r="NGF188" s="1360"/>
      <c r="NGG188" s="955"/>
      <c r="NGH188" s="1361"/>
      <c r="NGI188" s="1360"/>
      <c r="NGJ188" s="1925"/>
      <c r="NGK188" s="955"/>
      <c r="NGL188" s="963"/>
      <c r="NGM188" s="2242"/>
      <c r="NGN188" s="1360"/>
      <c r="NGO188" s="955"/>
      <c r="NGP188" s="1361"/>
      <c r="NGQ188" s="1360"/>
      <c r="NGR188" s="1925"/>
      <c r="NGS188" s="955"/>
      <c r="NGT188" s="963"/>
      <c r="NGU188" s="2242"/>
      <c r="NGV188" s="1360"/>
      <c r="NGW188" s="955"/>
      <c r="NGX188" s="1361"/>
      <c r="NGY188" s="1360"/>
      <c r="NGZ188" s="1925"/>
      <c r="NHA188" s="955"/>
      <c r="NHB188" s="963"/>
      <c r="NHC188" s="2242"/>
      <c r="NHD188" s="1360"/>
      <c r="NHE188" s="955"/>
      <c r="NHF188" s="1361"/>
      <c r="NHG188" s="1360"/>
      <c r="NHH188" s="1925"/>
      <c r="NHI188" s="955"/>
      <c r="NHJ188" s="963"/>
      <c r="NHK188" s="2242"/>
      <c r="NHL188" s="1360"/>
      <c r="NHM188" s="955"/>
      <c r="NHN188" s="1361"/>
      <c r="NHO188" s="1360"/>
      <c r="NHP188" s="1925"/>
      <c r="NHQ188" s="955"/>
      <c r="NHR188" s="963"/>
      <c r="NHS188" s="2242"/>
      <c r="NHT188" s="1360"/>
      <c r="NHU188" s="955"/>
      <c r="NHV188" s="1361"/>
      <c r="NHW188" s="1360"/>
      <c r="NHX188" s="1925"/>
      <c r="NHY188" s="955"/>
      <c r="NHZ188" s="963"/>
      <c r="NIA188" s="2242"/>
      <c r="NIB188" s="1360"/>
      <c r="NIC188" s="955"/>
      <c r="NID188" s="1361"/>
      <c r="NIE188" s="1360"/>
      <c r="NIF188" s="1925"/>
      <c r="NIG188" s="955"/>
      <c r="NIH188" s="963"/>
      <c r="NII188" s="2242"/>
      <c r="NIJ188" s="1360"/>
      <c r="NIK188" s="955"/>
      <c r="NIL188" s="1361"/>
      <c r="NIM188" s="1360"/>
      <c r="NIN188" s="1925"/>
      <c r="NIO188" s="955"/>
      <c r="NIP188" s="963"/>
      <c r="NIQ188" s="2242"/>
      <c r="NIR188" s="1360"/>
      <c r="NIS188" s="955"/>
      <c r="NIT188" s="1361"/>
      <c r="NIU188" s="1360"/>
      <c r="NIV188" s="1925"/>
      <c r="NIW188" s="955"/>
      <c r="NIX188" s="963"/>
      <c r="NIY188" s="2242"/>
      <c r="NIZ188" s="1360"/>
      <c r="NJA188" s="955"/>
      <c r="NJB188" s="1361"/>
      <c r="NJC188" s="1360"/>
      <c r="NJD188" s="1925"/>
      <c r="NJE188" s="955"/>
      <c r="NJF188" s="963"/>
      <c r="NJG188" s="2242"/>
      <c r="NJH188" s="1360"/>
      <c r="NJI188" s="955"/>
      <c r="NJJ188" s="1361"/>
      <c r="NJK188" s="1360"/>
      <c r="NJL188" s="1925"/>
      <c r="NJM188" s="955"/>
      <c r="NJN188" s="963"/>
      <c r="NJO188" s="2242"/>
      <c r="NJP188" s="1360"/>
      <c r="NJQ188" s="955"/>
      <c r="NJR188" s="1361"/>
      <c r="NJS188" s="1360"/>
      <c r="NJT188" s="1925"/>
      <c r="NJU188" s="955"/>
      <c r="NJV188" s="963"/>
      <c r="NJW188" s="2242"/>
      <c r="NJX188" s="1360"/>
      <c r="NJY188" s="955"/>
      <c r="NJZ188" s="1361"/>
      <c r="NKA188" s="1360"/>
      <c r="NKB188" s="1925"/>
      <c r="NKC188" s="955"/>
      <c r="NKD188" s="963"/>
      <c r="NKE188" s="2242"/>
      <c r="NKF188" s="1360"/>
      <c r="NKG188" s="955"/>
      <c r="NKH188" s="1361"/>
      <c r="NKI188" s="1360"/>
      <c r="NKJ188" s="1925"/>
      <c r="NKK188" s="955"/>
      <c r="NKL188" s="963"/>
      <c r="NKM188" s="2242"/>
      <c r="NKN188" s="1360"/>
      <c r="NKO188" s="955"/>
      <c r="NKP188" s="1361"/>
      <c r="NKQ188" s="1360"/>
      <c r="NKR188" s="1925"/>
      <c r="NKS188" s="955"/>
      <c r="NKT188" s="963"/>
      <c r="NKU188" s="2242"/>
      <c r="NKV188" s="1360"/>
      <c r="NKW188" s="955"/>
      <c r="NKX188" s="1361"/>
      <c r="NKY188" s="1360"/>
      <c r="NKZ188" s="1925"/>
      <c r="NLA188" s="955"/>
      <c r="NLB188" s="963"/>
      <c r="NLC188" s="2242"/>
      <c r="NLD188" s="1360"/>
      <c r="NLE188" s="955"/>
      <c r="NLF188" s="1361"/>
      <c r="NLG188" s="1360"/>
      <c r="NLH188" s="1925"/>
      <c r="NLI188" s="955"/>
      <c r="NLJ188" s="963"/>
      <c r="NLK188" s="2242"/>
      <c r="NLL188" s="1360"/>
      <c r="NLM188" s="955"/>
      <c r="NLN188" s="1361"/>
      <c r="NLO188" s="1360"/>
      <c r="NLP188" s="1925"/>
      <c r="NLQ188" s="955"/>
      <c r="NLR188" s="963"/>
      <c r="NLS188" s="2242"/>
      <c r="NLT188" s="1360"/>
      <c r="NLU188" s="955"/>
      <c r="NLV188" s="1361"/>
      <c r="NLW188" s="1360"/>
      <c r="NLX188" s="1925"/>
      <c r="NLY188" s="955"/>
      <c r="NLZ188" s="963"/>
      <c r="NMA188" s="2242"/>
      <c r="NMB188" s="1360"/>
      <c r="NMC188" s="955"/>
      <c r="NMD188" s="1361"/>
      <c r="NME188" s="1360"/>
      <c r="NMF188" s="1925"/>
      <c r="NMG188" s="955"/>
      <c r="NMH188" s="963"/>
      <c r="NMI188" s="2242"/>
      <c r="NMJ188" s="1360"/>
      <c r="NMK188" s="955"/>
      <c r="NML188" s="1361"/>
      <c r="NMM188" s="1360"/>
      <c r="NMN188" s="1925"/>
      <c r="NMO188" s="955"/>
      <c r="NMP188" s="963"/>
      <c r="NMQ188" s="2242"/>
      <c r="NMR188" s="1360"/>
      <c r="NMS188" s="955"/>
      <c r="NMT188" s="1361"/>
      <c r="NMU188" s="1360"/>
      <c r="NMV188" s="1925"/>
      <c r="NMW188" s="955"/>
      <c r="NMX188" s="963"/>
      <c r="NMY188" s="2242"/>
      <c r="NMZ188" s="1360"/>
      <c r="NNA188" s="955"/>
      <c r="NNB188" s="1361"/>
      <c r="NNC188" s="1360"/>
      <c r="NND188" s="1925"/>
      <c r="NNE188" s="955"/>
      <c r="NNF188" s="963"/>
      <c r="NNG188" s="2242"/>
      <c r="NNH188" s="1360"/>
      <c r="NNI188" s="955"/>
      <c r="NNJ188" s="1361"/>
      <c r="NNK188" s="1360"/>
      <c r="NNL188" s="1925"/>
      <c r="NNM188" s="955"/>
      <c r="NNN188" s="963"/>
      <c r="NNO188" s="2242"/>
      <c r="NNP188" s="1360"/>
      <c r="NNQ188" s="955"/>
      <c r="NNR188" s="1361"/>
      <c r="NNS188" s="1360"/>
      <c r="NNT188" s="1925"/>
      <c r="NNU188" s="955"/>
      <c r="NNV188" s="963"/>
      <c r="NNW188" s="2242"/>
      <c r="NNX188" s="1360"/>
      <c r="NNY188" s="955"/>
      <c r="NNZ188" s="1361"/>
      <c r="NOA188" s="1360"/>
      <c r="NOB188" s="1925"/>
      <c r="NOC188" s="955"/>
      <c r="NOD188" s="963"/>
      <c r="NOE188" s="2242"/>
      <c r="NOF188" s="1360"/>
      <c r="NOG188" s="955"/>
      <c r="NOH188" s="1361"/>
      <c r="NOI188" s="1360"/>
      <c r="NOJ188" s="1925"/>
      <c r="NOK188" s="955"/>
      <c r="NOL188" s="963"/>
      <c r="NOM188" s="2242"/>
      <c r="NON188" s="1360"/>
      <c r="NOO188" s="955"/>
      <c r="NOP188" s="1361"/>
      <c r="NOQ188" s="1360"/>
      <c r="NOR188" s="1925"/>
      <c r="NOS188" s="955"/>
      <c r="NOT188" s="963"/>
      <c r="NOU188" s="2242"/>
      <c r="NOV188" s="1360"/>
      <c r="NOW188" s="955"/>
      <c r="NOX188" s="1361"/>
      <c r="NOY188" s="1360"/>
      <c r="NOZ188" s="1925"/>
      <c r="NPA188" s="955"/>
      <c r="NPB188" s="963"/>
      <c r="NPC188" s="2242"/>
      <c r="NPD188" s="1360"/>
      <c r="NPE188" s="955"/>
      <c r="NPF188" s="1361"/>
      <c r="NPG188" s="1360"/>
      <c r="NPH188" s="1925"/>
      <c r="NPI188" s="955"/>
      <c r="NPJ188" s="963"/>
      <c r="NPK188" s="2242"/>
      <c r="NPL188" s="1360"/>
      <c r="NPM188" s="955"/>
      <c r="NPN188" s="1361"/>
      <c r="NPO188" s="1360"/>
      <c r="NPP188" s="1925"/>
      <c r="NPQ188" s="955"/>
      <c r="NPR188" s="963"/>
      <c r="NPS188" s="2242"/>
      <c r="NPT188" s="1360"/>
      <c r="NPU188" s="955"/>
      <c r="NPV188" s="1361"/>
      <c r="NPW188" s="1360"/>
      <c r="NPX188" s="1925"/>
      <c r="NPY188" s="955"/>
      <c r="NPZ188" s="963"/>
      <c r="NQA188" s="2242"/>
      <c r="NQB188" s="1360"/>
      <c r="NQC188" s="955"/>
      <c r="NQD188" s="1361"/>
      <c r="NQE188" s="1360"/>
      <c r="NQF188" s="1925"/>
      <c r="NQG188" s="955"/>
      <c r="NQH188" s="963"/>
      <c r="NQI188" s="2242"/>
      <c r="NQJ188" s="1360"/>
      <c r="NQK188" s="955"/>
      <c r="NQL188" s="1361"/>
      <c r="NQM188" s="1360"/>
      <c r="NQN188" s="1925"/>
      <c r="NQO188" s="955"/>
      <c r="NQP188" s="963"/>
      <c r="NQQ188" s="2242"/>
      <c r="NQR188" s="1360"/>
      <c r="NQS188" s="955"/>
      <c r="NQT188" s="1361"/>
      <c r="NQU188" s="1360"/>
      <c r="NQV188" s="1925"/>
      <c r="NQW188" s="955"/>
      <c r="NQX188" s="963"/>
      <c r="NQY188" s="2242"/>
      <c r="NQZ188" s="1360"/>
      <c r="NRA188" s="955"/>
      <c r="NRB188" s="1361"/>
      <c r="NRC188" s="1360"/>
      <c r="NRD188" s="1925"/>
      <c r="NRE188" s="955"/>
      <c r="NRF188" s="963"/>
      <c r="NRG188" s="2242"/>
      <c r="NRH188" s="1360"/>
      <c r="NRI188" s="955"/>
      <c r="NRJ188" s="1361"/>
      <c r="NRK188" s="1360"/>
      <c r="NRL188" s="1925"/>
      <c r="NRM188" s="955"/>
      <c r="NRN188" s="963"/>
      <c r="NRO188" s="2242"/>
      <c r="NRP188" s="1360"/>
      <c r="NRQ188" s="955"/>
      <c r="NRR188" s="1361"/>
      <c r="NRS188" s="1360"/>
      <c r="NRT188" s="1925"/>
      <c r="NRU188" s="955"/>
      <c r="NRV188" s="963"/>
      <c r="NRW188" s="2242"/>
      <c r="NRX188" s="1360"/>
      <c r="NRY188" s="955"/>
      <c r="NRZ188" s="1361"/>
      <c r="NSA188" s="1360"/>
      <c r="NSB188" s="1925"/>
      <c r="NSC188" s="955"/>
      <c r="NSD188" s="963"/>
      <c r="NSE188" s="2242"/>
      <c r="NSF188" s="1360"/>
      <c r="NSG188" s="955"/>
      <c r="NSH188" s="1361"/>
      <c r="NSI188" s="1360"/>
      <c r="NSJ188" s="1925"/>
      <c r="NSK188" s="955"/>
      <c r="NSL188" s="963"/>
      <c r="NSM188" s="2242"/>
      <c r="NSN188" s="1360"/>
      <c r="NSO188" s="955"/>
      <c r="NSP188" s="1361"/>
      <c r="NSQ188" s="1360"/>
      <c r="NSR188" s="1925"/>
      <c r="NSS188" s="955"/>
      <c r="NST188" s="963"/>
      <c r="NSU188" s="2242"/>
      <c r="NSV188" s="1360"/>
      <c r="NSW188" s="955"/>
      <c r="NSX188" s="1361"/>
      <c r="NSY188" s="1360"/>
      <c r="NSZ188" s="1925"/>
      <c r="NTA188" s="955"/>
      <c r="NTB188" s="963"/>
      <c r="NTC188" s="2242"/>
      <c r="NTD188" s="1360"/>
      <c r="NTE188" s="955"/>
      <c r="NTF188" s="1361"/>
      <c r="NTG188" s="1360"/>
      <c r="NTH188" s="1925"/>
      <c r="NTI188" s="955"/>
      <c r="NTJ188" s="963"/>
      <c r="NTK188" s="2242"/>
      <c r="NTL188" s="1360"/>
      <c r="NTM188" s="955"/>
      <c r="NTN188" s="1361"/>
      <c r="NTO188" s="1360"/>
      <c r="NTP188" s="1925"/>
      <c r="NTQ188" s="955"/>
      <c r="NTR188" s="963"/>
      <c r="NTS188" s="2242"/>
      <c r="NTT188" s="1360"/>
      <c r="NTU188" s="955"/>
      <c r="NTV188" s="1361"/>
      <c r="NTW188" s="1360"/>
      <c r="NTX188" s="1925"/>
      <c r="NTY188" s="955"/>
      <c r="NTZ188" s="963"/>
      <c r="NUA188" s="2242"/>
      <c r="NUB188" s="1360"/>
      <c r="NUC188" s="955"/>
      <c r="NUD188" s="1361"/>
      <c r="NUE188" s="1360"/>
      <c r="NUF188" s="1925"/>
      <c r="NUG188" s="955"/>
      <c r="NUH188" s="963"/>
      <c r="NUI188" s="2242"/>
      <c r="NUJ188" s="1360"/>
      <c r="NUK188" s="955"/>
      <c r="NUL188" s="1361"/>
      <c r="NUM188" s="1360"/>
      <c r="NUN188" s="1925"/>
      <c r="NUO188" s="955"/>
      <c r="NUP188" s="963"/>
      <c r="NUQ188" s="2242"/>
      <c r="NUR188" s="1360"/>
      <c r="NUS188" s="955"/>
      <c r="NUT188" s="1361"/>
      <c r="NUU188" s="1360"/>
      <c r="NUV188" s="1925"/>
      <c r="NUW188" s="955"/>
      <c r="NUX188" s="963"/>
      <c r="NUY188" s="2242"/>
      <c r="NUZ188" s="1360"/>
      <c r="NVA188" s="955"/>
      <c r="NVB188" s="1361"/>
      <c r="NVC188" s="1360"/>
      <c r="NVD188" s="1925"/>
      <c r="NVE188" s="955"/>
      <c r="NVF188" s="963"/>
      <c r="NVG188" s="2242"/>
      <c r="NVH188" s="1360"/>
      <c r="NVI188" s="955"/>
      <c r="NVJ188" s="1361"/>
      <c r="NVK188" s="1360"/>
      <c r="NVL188" s="1925"/>
      <c r="NVM188" s="955"/>
      <c r="NVN188" s="963"/>
      <c r="NVO188" s="2242"/>
      <c r="NVP188" s="1360"/>
      <c r="NVQ188" s="955"/>
      <c r="NVR188" s="1361"/>
      <c r="NVS188" s="1360"/>
      <c r="NVT188" s="1925"/>
      <c r="NVU188" s="955"/>
      <c r="NVV188" s="963"/>
      <c r="NVW188" s="2242"/>
      <c r="NVX188" s="1360"/>
      <c r="NVY188" s="955"/>
      <c r="NVZ188" s="1361"/>
      <c r="NWA188" s="1360"/>
      <c r="NWB188" s="1925"/>
      <c r="NWC188" s="955"/>
      <c r="NWD188" s="963"/>
      <c r="NWE188" s="2242"/>
      <c r="NWF188" s="1360"/>
      <c r="NWG188" s="955"/>
      <c r="NWH188" s="1361"/>
      <c r="NWI188" s="1360"/>
      <c r="NWJ188" s="1925"/>
      <c r="NWK188" s="955"/>
      <c r="NWL188" s="963"/>
      <c r="NWM188" s="2242"/>
      <c r="NWN188" s="1360"/>
      <c r="NWO188" s="955"/>
      <c r="NWP188" s="1361"/>
      <c r="NWQ188" s="1360"/>
      <c r="NWR188" s="1925"/>
      <c r="NWS188" s="955"/>
      <c r="NWT188" s="963"/>
      <c r="NWU188" s="2242"/>
      <c r="NWV188" s="1360"/>
      <c r="NWW188" s="955"/>
      <c r="NWX188" s="1361"/>
      <c r="NWY188" s="1360"/>
      <c r="NWZ188" s="1925"/>
      <c r="NXA188" s="955"/>
      <c r="NXB188" s="963"/>
      <c r="NXC188" s="2242"/>
      <c r="NXD188" s="1360"/>
      <c r="NXE188" s="955"/>
      <c r="NXF188" s="1361"/>
      <c r="NXG188" s="1360"/>
      <c r="NXH188" s="1925"/>
      <c r="NXI188" s="955"/>
      <c r="NXJ188" s="963"/>
      <c r="NXK188" s="2242"/>
      <c r="NXL188" s="1360"/>
      <c r="NXM188" s="955"/>
      <c r="NXN188" s="1361"/>
      <c r="NXO188" s="1360"/>
      <c r="NXP188" s="1925"/>
      <c r="NXQ188" s="955"/>
      <c r="NXR188" s="963"/>
      <c r="NXS188" s="2242"/>
      <c r="NXT188" s="1360"/>
      <c r="NXU188" s="955"/>
      <c r="NXV188" s="1361"/>
      <c r="NXW188" s="1360"/>
      <c r="NXX188" s="1925"/>
      <c r="NXY188" s="955"/>
      <c r="NXZ188" s="963"/>
      <c r="NYA188" s="2242"/>
      <c r="NYB188" s="1360"/>
      <c r="NYC188" s="955"/>
      <c r="NYD188" s="1361"/>
      <c r="NYE188" s="1360"/>
      <c r="NYF188" s="1925"/>
      <c r="NYG188" s="955"/>
      <c r="NYH188" s="963"/>
      <c r="NYI188" s="2242"/>
      <c r="NYJ188" s="1360"/>
      <c r="NYK188" s="955"/>
      <c r="NYL188" s="1361"/>
      <c r="NYM188" s="1360"/>
      <c r="NYN188" s="1925"/>
      <c r="NYO188" s="955"/>
      <c r="NYP188" s="963"/>
      <c r="NYQ188" s="2242"/>
      <c r="NYR188" s="1360"/>
      <c r="NYS188" s="955"/>
      <c r="NYT188" s="1361"/>
      <c r="NYU188" s="1360"/>
      <c r="NYV188" s="1925"/>
      <c r="NYW188" s="955"/>
      <c r="NYX188" s="963"/>
      <c r="NYY188" s="2242"/>
      <c r="NYZ188" s="1360"/>
      <c r="NZA188" s="955"/>
      <c r="NZB188" s="1361"/>
      <c r="NZC188" s="1360"/>
      <c r="NZD188" s="1925"/>
      <c r="NZE188" s="955"/>
      <c r="NZF188" s="963"/>
      <c r="NZG188" s="2242"/>
      <c r="NZH188" s="1360"/>
      <c r="NZI188" s="955"/>
      <c r="NZJ188" s="1361"/>
      <c r="NZK188" s="1360"/>
      <c r="NZL188" s="1925"/>
      <c r="NZM188" s="955"/>
      <c r="NZN188" s="963"/>
      <c r="NZO188" s="2242"/>
      <c r="NZP188" s="1360"/>
      <c r="NZQ188" s="955"/>
      <c r="NZR188" s="1361"/>
      <c r="NZS188" s="1360"/>
      <c r="NZT188" s="1925"/>
      <c r="NZU188" s="955"/>
      <c r="NZV188" s="963"/>
      <c r="NZW188" s="2242"/>
      <c r="NZX188" s="1360"/>
      <c r="NZY188" s="955"/>
      <c r="NZZ188" s="1361"/>
      <c r="OAA188" s="1360"/>
      <c r="OAB188" s="1925"/>
      <c r="OAC188" s="955"/>
      <c r="OAD188" s="963"/>
      <c r="OAE188" s="2242"/>
      <c r="OAF188" s="1360"/>
      <c r="OAG188" s="955"/>
      <c r="OAH188" s="1361"/>
      <c r="OAI188" s="1360"/>
      <c r="OAJ188" s="1925"/>
      <c r="OAK188" s="955"/>
      <c r="OAL188" s="963"/>
      <c r="OAM188" s="2242"/>
      <c r="OAN188" s="1360"/>
      <c r="OAO188" s="955"/>
      <c r="OAP188" s="1361"/>
      <c r="OAQ188" s="1360"/>
      <c r="OAR188" s="1925"/>
      <c r="OAS188" s="955"/>
      <c r="OAT188" s="963"/>
      <c r="OAU188" s="2242"/>
      <c r="OAV188" s="1360"/>
      <c r="OAW188" s="955"/>
      <c r="OAX188" s="1361"/>
      <c r="OAY188" s="1360"/>
      <c r="OAZ188" s="1925"/>
      <c r="OBA188" s="955"/>
      <c r="OBB188" s="963"/>
      <c r="OBC188" s="2242"/>
      <c r="OBD188" s="1360"/>
      <c r="OBE188" s="955"/>
      <c r="OBF188" s="1361"/>
      <c r="OBG188" s="1360"/>
      <c r="OBH188" s="1925"/>
      <c r="OBI188" s="955"/>
      <c r="OBJ188" s="963"/>
      <c r="OBK188" s="2242"/>
      <c r="OBL188" s="1360"/>
      <c r="OBM188" s="955"/>
      <c r="OBN188" s="1361"/>
      <c r="OBO188" s="1360"/>
      <c r="OBP188" s="1925"/>
      <c r="OBQ188" s="955"/>
      <c r="OBR188" s="963"/>
      <c r="OBS188" s="2242"/>
      <c r="OBT188" s="1360"/>
      <c r="OBU188" s="955"/>
      <c r="OBV188" s="1361"/>
      <c r="OBW188" s="1360"/>
      <c r="OBX188" s="1925"/>
      <c r="OBY188" s="955"/>
      <c r="OBZ188" s="963"/>
      <c r="OCA188" s="2242"/>
      <c r="OCB188" s="1360"/>
      <c r="OCC188" s="955"/>
      <c r="OCD188" s="1361"/>
      <c r="OCE188" s="1360"/>
      <c r="OCF188" s="1925"/>
      <c r="OCG188" s="955"/>
      <c r="OCH188" s="963"/>
      <c r="OCI188" s="2242"/>
      <c r="OCJ188" s="1360"/>
      <c r="OCK188" s="955"/>
      <c r="OCL188" s="1361"/>
      <c r="OCM188" s="1360"/>
      <c r="OCN188" s="1925"/>
      <c r="OCO188" s="955"/>
      <c r="OCP188" s="963"/>
      <c r="OCQ188" s="2242"/>
      <c r="OCR188" s="1360"/>
      <c r="OCS188" s="955"/>
      <c r="OCT188" s="1361"/>
      <c r="OCU188" s="1360"/>
      <c r="OCV188" s="1925"/>
      <c r="OCW188" s="955"/>
      <c r="OCX188" s="963"/>
      <c r="OCY188" s="2242"/>
      <c r="OCZ188" s="1360"/>
      <c r="ODA188" s="955"/>
      <c r="ODB188" s="1361"/>
      <c r="ODC188" s="1360"/>
      <c r="ODD188" s="1925"/>
      <c r="ODE188" s="955"/>
      <c r="ODF188" s="963"/>
      <c r="ODG188" s="2242"/>
      <c r="ODH188" s="1360"/>
      <c r="ODI188" s="955"/>
      <c r="ODJ188" s="1361"/>
      <c r="ODK188" s="1360"/>
      <c r="ODL188" s="1925"/>
      <c r="ODM188" s="955"/>
      <c r="ODN188" s="963"/>
      <c r="ODO188" s="2242"/>
      <c r="ODP188" s="1360"/>
      <c r="ODQ188" s="955"/>
      <c r="ODR188" s="1361"/>
      <c r="ODS188" s="1360"/>
      <c r="ODT188" s="1925"/>
      <c r="ODU188" s="955"/>
      <c r="ODV188" s="963"/>
      <c r="ODW188" s="2242"/>
      <c r="ODX188" s="1360"/>
      <c r="ODY188" s="955"/>
      <c r="ODZ188" s="1361"/>
      <c r="OEA188" s="1360"/>
      <c r="OEB188" s="1925"/>
      <c r="OEC188" s="955"/>
      <c r="OED188" s="963"/>
      <c r="OEE188" s="2242"/>
      <c r="OEF188" s="1360"/>
      <c r="OEG188" s="955"/>
      <c r="OEH188" s="1361"/>
      <c r="OEI188" s="1360"/>
      <c r="OEJ188" s="1925"/>
      <c r="OEK188" s="955"/>
      <c r="OEL188" s="963"/>
      <c r="OEM188" s="2242"/>
      <c r="OEN188" s="1360"/>
      <c r="OEO188" s="955"/>
      <c r="OEP188" s="1361"/>
      <c r="OEQ188" s="1360"/>
      <c r="OER188" s="1925"/>
      <c r="OES188" s="955"/>
      <c r="OET188" s="963"/>
      <c r="OEU188" s="2242"/>
      <c r="OEV188" s="1360"/>
      <c r="OEW188" s="955"/>
      <c r="OEX188" s="1361"/>
      <c r="OEY188" s="1360"/>
      <c r="OEZ188" s="1925"/>
      <c r="OFA188" s="955"/>
      <c r="OFB188" s="963"/>
      <c r="OFC188" s="2242"/>
      <c r="OFD188" s="1360"/>
      <c r="OFE188" s="955"/>
      <c r="OFF188" s="1361"/>
      <c r="OFG188" s="1360"/>
      <c r="OFH188" s="1925"/>
      <c r="OFI188" s="955"/>
      <c r="OFJ188" s="963"/>
      <c r="OFK188" s="2242"/>
      <c r="OFL188" s="1360"/>
      <c r="OFM188" s="955"/>
      <c r="OFN188" s="1361"/>
      <c r="OFO188" s="1360"/>
      <c r="OFP188" s="1925"/>
      <c r="OFQ188" s="955"/>
      <c r="OFR188" s="963"/>
      <c r="OFS188" s="2242"/>
      <c r="OFT188" s="1360"/>
      <c r="OFU188" s="955"/>
      <c r="OFV188" s="1361"/>
      <c r="OFW188" s="1360"/>
      <c r="OFX188" s="1925"/>
      <c r="OFY188" s="955"/>
      <c r="OFZ188" s="963"/>
      <c r="OGA188" s="2242"/>
      <c r="OGB188" s="1360"/>
      <c r="OGC188" s="955"/>
      <c r="OGD188" s="1361"/>
      <c r="OGE188" s="1360"/>
      <c r="OGF188" s="1925"/>
      <c r="OGG188" s="955"/>
      <c r="OGH188" s="963"/>
      <c r="OGI188" s="2242"/>
      <c r="OGJ188" s="1360"/>
      <c r="OGK188" s="955"/>
      <c r="OGL188" s="1361"/>
      <c r="OGM188" s="1360"/>
      <c r="OGN188" s="1925"/>
      <c r="OGO188" s="955"/>
      <c r="OGP188" s="963"/>
      <c r="OGQ188" s="2242"/>
      <c r="OGR188" s="1360"/>
      <c r="OGS188" s="955"/>
      <c r="OGT188" s="1361"/>
      <c r="OGU188" s="1360"/>
      <c r="OGV188" s="1925"/>
      <c r="OGW188" s="955"/>
      <c r="OGX188" s="963"/>
      <c r="OGY188" s="2242"/>
      <c r="OGZ188" s="1360"/>
      <c r="OHA188" s="955"/>
      <c r="OHB188" s="1361"/>
      <c r="OHC188" s="1360"/>
      <c r="OHD188" s="1925"/>
      <c r="OHE188" s="955"/>
      <c r="OHF188" s="963"/>
      <c r="OHG188" s="2242"/>
      <c r="OHH188" s="1360"/>
      <c r="OHI188" s="955"/>
      <c r="OHJ188" s="1361"/>
      <c r="OHK188" s="1360"/>
      <c r="OHL188" s="1925"/>
      <c r="OHM188" s="955"/>
      <c r="OHN188" s="963"/>
      <c r="OHO188" s="2242"/>
      <c r="OHP188" s="1360"/>
      <c r="OHQ188" s="955"/>
      <c r="OHR188" s="1361"/>
      <c r="OHS188" s="1360"/>
      <c r="OHT188" s="1925"/>
      <c r="OHU188" s="955"/>
      <c r="OHV188" s="963"/>
      <c r="OHW188" s="2242"/>
      <c r="OHX188" s="1360"/>
      <c r="OHY188" s="955"/>
      <c r="OHZ188" s="1361"/>
      <c r="OIA188" s="1360"/>
      <c r="OIB188" s="1925"/>
      <c r="OIC188" s="955"/>
      <c r="OID188" s="963"/>
      <c r="OIE188" s="2242"/>
      <c r="OIF188" s="1360"/>
      <c r="OIG188" s="955"/>
      <c r="OIH188" s="1361"/>
      <c r="OII188" s="1360"/>
      <c r="OIJ188" s="1925"/>
      <c r="OIK188" s="955"/>
      <c r="OIL188" s="963"/>
      <c r="OIM188" s="2242"/>
      <c r="OIN188" s="1360"/>
      <c r="OIO188" s="955"/>
      <c r="OIP188" s="1361"/>
      <c r="OIQ188" s="1360"/>
      <c r="OIR188" s="1925"/>
      <c r="OIS188" s="955"/>
      <c r="OIT188" s="963"/>
      <c r="OIU188" s="2242"/>
      <c r="OIV188" s="1360"/>
      <c r="OIW188" s="955"/>
      <c r="OIX188" s="1361"/>
      <c r="OIY188" s="1360"/>
      <c r="OIZ188" s="1925"/>
      <c r="OJA188" s="955"/>
      <c r="OJB188" s="963"/>
      <c r="OJC188" s="2242"/>
      <c r="OJD188" s="1360"/>
      <c r="OJE188" s="955"/>
      <c r="OJF188" s="1361"/>
      <c r="OJG188" s="1360"/>
      <c r="OJH188" s="1925"/>
      <c r="OJI188" s="955"/>
      <c r="OJJ188" s="963"/>
      <c r="OJK188" s="2242"/>
      <c r="OJL188" s="1360"/>
      <c r="OJM188" s="955"/>
      <c r="OJN188" s="1361"/>
      <c r="OJO188" s="1360"/>
      <c r="OJP188" s="1925"/>
      <c r="OJQ188" s="955"/>
      <c r="OJR188" s="963"/>
      <c r="OJS188" s="2242"/>
      <c r="OJT188" s="1360"/>
      <c r="OJU188" s="955"/>
      <c r="OJV188" s="1361"/>
      <c r="OJW188" s="1360"/>
      <c r="OJX188" s="1925"/>
      <c r="OJY188" s="955"/>
      <c r="OJZ188" s="963"/>
      <c r="OKA188" s="2242"/>
      <c r="OKB188" s="1360"/>
      <c r="OKC188" s="955"/>
      <c r="OKD188" s="1361"/>
      <c r="OKE188" s="1360"/>
      <c r="OKF188" s="1925"/>
      <c r="OKG188" s="955"/>
      <c r="OKH188" s="963"/>
      <c r="OKI188" s="2242"/>
      <c r="OKJ188" s="1360"/>
      <c r="OKK188" s="955"/>
      <c r="OKL188" s="1361"/>
      <c r="OKM188" s="1360"/>
      <c r="OKN188" s="1925"/>
      <c r="OKO188" s="955"/>
      <c r="OKP188" s="963"/>
      <c r="OKQ188" s="2242"/>
      <c r="OKR188" s="1360"/>
      <c r="OKS188" s="955"/>
      <c r="OKT188" s="1361"/>
      <c r="OKU188" s="1360"/>
      <c r="OKV188" s="1925"/>
      <c r="OKW188" s="955"/>
      <c r="OKX188" s="963"/>
      <c r="OKY188" s="2242"/>
      <c r="OKZ188" s="1360"/>
      <c r="OLA188" s="955"/>
      <c r="OLB188" s="1361"/>
      <c r="OLC188" s="1360"/>
      <c r="OLD188" s="1925"/>
      <c r="OLE188" s="955"/>
      <c r="OLF188" s="963"/>
      <c r="OLG188" s="2242"/>
      <c r="OLH188" s="1360"/>
      <c r="OLI188" s="955"/>
      <c r="OLJ188" s="1361"/>
      <c r="OLK188" s="1360"/>
      <c r="OLL188" s="1925"/>
      <c r="OLM188" s="955"/>
      <c r="OLN188" s="963"/>
      <c r="OLO188" s="2242"/>
      <c r="OLP188" s="1360"/>
      <c r="OLQ188" s="955"/>
      <c r="OLR188" s="1361"/>
      <c r="OLS188" s="1360"/>
      <c r="OLT188" s="1925"/>
      <c r="OLU188" s="955"/>
      <c r="OLV188" s="963"/>
      <c r="OLW188" s="2242"/>
      <c r="OLX188" s="1360"/>
      <c r="OLY188" s="955"/>
      <c r="OLZ188" s="1361"/>
      <c r="OMA188" s="1360"/>
      <c r="OMB188" s="1925"/>
      <c r="OMC188" s="955"/>
      <c r="OMD188" s="963"/>
      <c r="OME188" s="2242"/>
      <c r="OMF188" s="1360"/>
      <c r="OMG188" s="955"/>
      <c r="OMH188" s="1361"/>
      <c r="OMI188" s="1360"/>
      <c r="OMJ188" s="1925"/>
      <c r="OMK188" s="955"/>
      <c r="OML188" s="963"/>
      <c r="OMM188" s="2242"/>
      <c r="OMN188" s="1360"/>
      <c r="OMO188" s="955"/>
      <c r="OMP188" s="1361"/>
      <c r="OMQ188" s="1360"/>
      <c r="OMR188" s="1925"/>
      <c r="OMS188" s="955"/>
      <c r="OMT188" s="963"/>
      <c r="OMU188" s="2242"/>
      <c r="OMV188" s="1360"/>
      <c r="OMW188" s="955"/>
      <c r="OMX188" s="1361"/>
      <c r="OMY188" s="1360"/>
      <c r="OMZ188" s="1925"/>
      <c r="ONA188" s="955"/>
      <c r="ONB188" s="963"/>
      <c r="ONC188" s="2242"/>
      <c r="OND188" s="1360"/>
      <c r="ONE188" s="955"/>
      <c r="ONF188" s="1361"/>
      <c r="ONG188" s="1360"/>
      <c r="ONH188" s="1925"/>
      <c r="ONI188" s="955"/>
      <c r="ONJ188" s="963"/>
      <c r="ONK188" s="2242"/>
      <c r="ONL188" s="1360"/>
      <c r="ONM188" s="955"/>
      <c r="ONN188" s="1361"/>
      <c r="ONO188" s="1360"/>
      <c r="ONP188" s="1925"/>
      <c r="ONQ188" s="955"/>
      <c r="ONR188" s="963"/>
      <c r="ONS188" s="2242"/>
      <c r="ONT188" s="1360"/>
      <c r="ONU188" s="955"/>
      <c r="ONV188" s="1361"/>
      <c r="ONW188" s="1360"/>
      <c r="ONX188" s="1925"/>
      <c r="ONY188" s="955"/>
      <c r="ONZ188" s="963"/>
      <c r="OOA188" s="2242"/>
      <c r="OOB188" s="1360"/>
      <c r="OOC188" s="955"/>
      <c r="OOD188" s="1361"/>
      <c r="OOE188" s="1360"/>
      <c r="OOF188" s="1925"/>
      <c r="OOG188" s="955"/>
      <c r="OOH188" s="963"/>
      <c r="OOI188" s="2242"/>
      <c r="OOJ188" s="1360"/>
      <c r="OOK188" s="955"/>
      <c r="OOL188" s="1361"/>
      <c r="OOM188" s="1360"/>
      <c r="OON188" s="1925"/>
      <c r="OOO188" s="955"/>
      <c r="OOP188" s="963"/>
      <c r="OOQ188" s="2242"/>
      <c r="OOR188" s="1360"/>
      <c r="OOS188" s="955"/>
      <c r="OOT188" s="1361"/>
      <c r="OOU188" s="1360"/>
      <c r="OOV188" s="1925"/>
      <c r="OOW188" s="955"/>
      <c r="OOX188" s="963"/>
      <c r="OOY188" s="2242"/>
      <c r="OOZ188" s="1360"/>
      <c r="OPA188" s="955"/>
      <c r="OPB188" s="1361"/>
      <c r="OPC188" s="1360"/>
      <c r="OPD188" s="1925"/>
      <c r="OPE188" s="955"/>
      <c r="OPF188" s="963"/>
      <c r="OPG188" s="2242"/>
      <c r="OPH188" s="1360"/>
      <c r="OPI188" s="955"/>
      <c r="OPJ188" s="1361"/>
      <c r="OPK188" s="1360"/>
      <c r="OPL188" s="1925"/>
      <c r="OPM188" s="955"/>
      <c r="OPN188" s="963"/>
      <c r="OPO188" s="2242"/>
      <c r="OPP188" s="1360"/>
      <c r="OPQ188" s="955"/>
      <c r="OPR188" s="1361"/>
      <c r="OPS188" s="1360"/>
      <c r="OPT188" s="1925"/>
      <c r="OPU188" s="955"/>
      <c r="OPV188" s="963"/>
      <c r="OPW188" s="2242"/>
      <c r="OPX188" s="1360"/>
      <c r="OPY188" s="955"/>
      <c r="OPZ188" s="1361"/>
      <c r="OQA188" s="1360"/>
      <c r="OQB188" s="1925"/>
      <c r="OQC188" s="955"/>
      <c r="OQD188" s="963"/>
      <c r="OQE188" s="2242"/>
      <c r="OQF188" s="1360"/>
      <c r="OQG188" s="955"/>
      <c r="OQH188" s="1361"/>
      <c r="OQI188" s="1360"/>
      <c r="OQJ188" s="1925"/>
      <c r="OQK188" s="955"/>
      <c r="OQL188" s="963"/>
      <c r="OQM188" s="2242"/>
      <c r="OQN188" s="1360"/>
      <c r="OQO188" s="955"/>
      <c r="OQP188" s="1361"/>
      <c r="OQQ188" s="1360"/>
      <c r="OQR188" s="1925"/>
      <c r="OQS188" s="955"/>
      <c r="OQT188" s="963"/>
      <c r="OQU188" s="2242"/>
      <c r="OQV188" s="1360"/>
      <c r="OQW188" s="955"/>
      <c r="OQX188" s="1361"/>
      <c r="OQY188" s="1360"/>
      <c r="OQZ188" s="1925"/>
      <c r="ORA188" s="955"/>
      <c r="ORB188" s="963"/>
      <c r="ORC188" s="2242"/>
      <c r="ORD188" s="1360"/>
      <c r="ORE188" s="955"/>
      <c r="ORF188" s="1361"/>
      <c r="ORG188" s="1360"/>
      <c r="ORH188" s="1925"/>
      <c r="ORI188" s="955"/>
      <c r="ORJ188" s="963"/>
      <c r="ORK188" s="2242"/>
      <c r="ORL188" s="1360"/>
      <c r="ORM188" s="955"/>
      <c r="ORN188" s="1361"/>
      <c r="ORO188" s="1360"/>
      <c r="ORP188" s="1925"/>
      <c r="ORQ188" s="955"/>
      <c r="ORR188" s="963"/>
      <c r="ORS188" s="2242"/>
      <c r="ORT188" s="1360"/>
      <c r="ORU188" s="955"/>
      <c r="ORV188" s="1361"/>
      <c r="ORW188" s="1360"/>
      <c r="ORX188" s="1925"/>
      <c r="ORY188" s="955"/>
      <c r="ORZ188" s="963"/>
      <c r="OSA188" s="2242"/>
      <c r="OSB188" s="1360"/>
      <c r="OSC188" s="955"/>
      <c r="OSD188" s="1361"/>
      <c r="OSE188" s="1360"/>
      <c r="OSF188" s="1925"/>
      <c r="OSG188" s="955"/>
      <c r="OSH188" s="963"/>
      <c r="OSI188" s="2242"/>
      <c r="OSJ188" s="1360"/>
      <c r="OSK188" s="955"/>
      <c r="OSL188" s="1361"/>
      <c r="OSM188" s="1360"/>
      <c r="OSN188" s="1925"/>
      <c r="OSO188" s="955"/>
      <c r="OSP188" s="963"/>
      <c r="OSQ188" s="2242"/>
      <c r="OSR188" s="1360"/>
      <c r="OSS188" s="955"/>
      <c r="OST188" s="1361"/>
      <c r="OSU188" s="1360"/>
      <c r="OSV188" s="1925"/>
      <c r="OSW188" s="955"/>
      <c r="OSX188" s="963"/>
      <c r="OSY188" s="2242"/>
      <c r="OSZ188" s="1360"/>
      <c r="OTA188" s="955"/>
      <c r="OTB188" s="1361"/>
      <c r="OTC188" s="1360"/>
      <c r="OTD188" s="1925"/>
      <c r="OTE188" s="955"/>
      <c r="OTF188" s="963"/>
      <c r="OTG188" s="2242"/>
      <c r="OTH188" s="1360"/>
      <c r="OTI188" s="955"/>
      <c r="OTJ188" s="1361"/>
      <c r="OTK188" s="1360"/>
      <c r="OTL188" s="1925"/>
      <c r="OTM188" s="955"/>
      <c r="OTN188" s="963"/>
      <c r="OTO188" s="2242"/>
      <c r="OTP188" s="1360"/>
      <c r="OTQ188" s="955"/>
      <c r="OTR188" s="1361"/>
      <c r="OTS188" s="1360"/>
      <c r="OTT188" s="1925"/>
      <c r="OTU188" s="955"/>
      <c r="OTV188" s="963"/>
      <c r="OTW188" s="2242"/>
      <c r="OTX188" s="1360"/>
      <c r="OTY188" s="955"/>
      <c r="OTZ188" s="1361"/>
      <c r="OUA188" s="1360"/>
      <c r="OUB188" s="1925"/>
      <c r="OUC188" s="955"/>
      <c r="OUD188" s="963"/>
      <c r="OUE188" s="2242"/>
      <c r="OUF188" s="1360"/>
      <c r="OUG188" s="955"/>
      <c r="OUH188" s="1361"/>
      <c r="OUI188" s="1360"/>
      <c r="OUJ188" s="1925"/>
      <c r="OUK188" s="955"/>
      <c r="OUL188" s="963"/>
      <c r="OUM188" s="2242"/>
      <c r="OUN188" s="1360"/>
      <c r="OUO188" s="955"/>
      <c r="OUP188" s="1361"/>
      <c r="OUQ188" s="1360"/>
      <c r="OUR188" s="1925"/>
      <c r="OUS188" s="955"/>
      <c r="OUT188" s="963"/>
      <c r="OUU188" s="2242"/>
      <c r="OUV188" s="1360"/>
      <c r="OUW188" s="955"/>
      <c r="OUX188" s="1361"/>
      <c r="OUY188" s="1360"/>
      <c r="OUZ188" s="1925"/>
      <c r="OVA188" s="955"/>
      <c r="OVB188" s="963"/>
      <c r="OVC188" s="2242"/>
      <c r="OVD188" s="1360"/>
      <c r="OVE188" s="955"/>
      <c r="OVF188" s="1361"/>
      <c r="OVG188" s="1360"/>
      <c r="OVH188" s="1925"/>
      <c r="OVI188" s="955"/>
      <c r="OVJ188" s="963"/>
      <c r="OVK188" s="2242"/>
      <c r="OVL188" s="1360"/>
      <c r="OVM188" s="955"/>
      <c r="OVN188" s="1361"/>
      <c r="OVO188" s="1360"/>
      <c r="OVP188" s="1925"/>
      <c r="OVQ188" s="955"/>
      <c r="OVR188" s="963"/>
      <c r="OVS188" s="2242"/>
      <c r="OVT188" s="1360"/>
      <c r="OVU188" s="955"/>
      <c r="OVV188" s="1361"/>
      <c r="OVW188" s="1360"/>
      <c r="OVX188" s="1925"/>
      <c r="OVY188" s="955"/>
      <c r="OVZ188" s="963"/>
      <c r="OWA188" s="2242"/>
      <c r="OWB188" s="1360"/>
      <c r="OWC188" s="955"/>
      <c r="OWD188" s="1361"/>
      <c r="OWE188" s="1360"/>
      <c r="OWF188" s="1925"/>
      <c r="OWG188" s="955"/>
      <c r="OWH188" s="963"/>
      <c r="OWI188" s="2242"/>
      <c r="OWJ188" s="1360"/>
      <c r="OWK188" s="955"/>
      <c r="OWL188" s="1361"/>
      <c r="OWM188" s="1360"/>
      <c r="OWN188" s="1925"/>
      <c r="OWO188" s="955"/>
      <c r="OWP188" s="963"/>
      <c r="OWQ188" s="2242"/>
      <c r="OWR188" s="1360"/>
      <c r="OWS188" s="955"/>
      <c r="OWT188" s="1361"/>
      <c r="OWU188" s="1360"/>
      <c r="OWV188" s="1925"/>
      <c r="OWW188" s="955"/>
      <c r="OWX188" s="963"/>
      <c r="OWY188" s="2242"/>
      <c r="OWZ188" s="1360"/>
      <c r="OXA188" s="955"/>
      <c r="OXB188" s="1361"/>
      <c r="OXC188" s="1360"/>
      <c r="OXD188" s="1925"/>
      <c r="OXE188" s="955"/>
      <c r="OXF188" s="963"/>
      <c r="OXG188" s="2242"/>
      <c r="OXH188" s="1360"/>
      <c r="OXI188" s="955"/>
      <c r="OXJ188" s="1361"/>
      <c r="OXK188" s="1360"/>
      <c r="OXL188" s="1925"/>
      <c r="OXM188" s="955"/>
      <c r="OXN188" s="963"/>
      <c r="OXO188" s="2242"/>
      <c r="OXP188" s="1360"/>
      <c r="OXQ188" s="955"/>
      <c r="OXR188" s="1361"/>
      <c r="OXS188" s="1360"/>
      <c r="OXT188" s="1925"/>
      <c r="OXU188" s="955"/>
      <c r="OXV188" s="963"/>
      <c r="OXW188" s="2242"/>
      <c r="OXX188" s="1360"/>
      <c r="OXY188" s="955"/>
      <c r="OXZ188" s="1361"/>
      <c r="OYA188" s="1360"/>
      <c r="OYB188" s="1925"/>
      <c r="OYC188" s="955"/>
      <c r="OYD188" s="963"/>
      <c r="OYE188" s="2242"/>
      <c r="OYF188" s="1360"/>
      <c r="OYG188" s="955"/>
      <c r="OYH188" s="1361"/>
      <c r="OYI188" s="1360"/>
      <c r="OYJ188" s="1925"/>
      <c r="OYK188" s="955"/>
      <c r="OYL188" s="963"/>
      <c r="OYM188" s="2242"/>
      <c r="OYN188" s="1360"/>
      <c r="OYO188" s="955"/>
      <c r="OYP188" s="1361"/>
      <c r="OYQ188" s="1360"/>
      <c r="OYR188" s="1925"/>
      <c r="OYS188" s="955"/>
      <c r="OYT188" s="963"/>
      <c r="OYU188" s="2242"/>
      <c r="OYV188" s="1360"/>
      <c r="OYW188" s="955"/>
      <c r="OYX188" s="1361"/>
      <c r="OYY188" s="1360"/>
      <c r="OYZ188" s="1925"/>
      <c r="OZA188" s="955"/>
      <c r="OZB188" s="963"/>
      <c r="OZC188" s="2242"/>
      <c r="OZD188" s="1360"/>
      <c r="OZE188" s="955"/>
      <c r="OZF188" s="1361"/>
      <c r="OZG188" s="1360"/>
      <c r="OZH188" s="1925"/>
      <c r="OZI188" s="955"/>
      <c r="OZJ188" s="963"/>
      <c r="OZK188" s="2242"/>
      <c r="OZL188" s="1360"/>
      <c r="OZM188" s="955"/>
      <c r="OZN188" s="1361"/>
      <c r="OZO188" s="1360"/>
      <c r="OZP188" s="1925"/>
      <c r="OZQ188" s="955"/>
      <c r="OZR188" s="963"/>
      <c r="OZS188" s="2242"/>
      <c r="OZT188" s="1360"/>
      <c r="OZU188" s="955"/>
      <c r="OZV188" s="1361"/>
      <c r="OZW188" s="1360"/>
      <c r="OZX188" s="1925"/>
      <c r="OZY188" s="955"/>
      <c r="OZZ188" s="963"/>
      <c r="PAA188" s="2242"/>
      <c r="PAB188" s="1360"/>
      <c r="PAC188" s="955"/>
      <c r="PAD188" s="1361"/>
      <c r="PAE188" s="1360"/>
      <c r="PAF188" s="1925"/>
      <c r="PAG188" s="955"/>
      <c r="PAH188" s="963"/>
      <c r="PAI188" s="2242"/>
      <c r="PAJ188" s="1360"/>
      <c r="PAK188" s="955"/>
      <c r="PAL188" s="1361"/>
      <c r="PAM188" s="1360"/>
      <c r="PAN188" s="1925"/>
      <c r="PAO188" s="955"/>
      <c r="PAP188" s="963"/>
      <c r="PAQ188" s="2242"/>
      <c r="PAR188" s="1360"/>
      <c r="PAS188" s="955"/>
      <c r="PAT188" s="1361"/>
      <c r="PAU188" s="1360"/>
      <c r="PAV188" s="1925"/>
      <c r="PAW188" s="955"/>
      <c r="PAX188" s="963"/>
      <c r="PAY188" s="2242"/>
      <c r="PAZ188" s="1360"/>
      <c r="PBA188" s="955"/>
      <c r="PBB188" s="1361"/>
      <c r="PBC188" s="1360"/>
      <c r="PBD188" s="1925"/>
      <c r="PBE188" s="955"/>
      <c r="PBF188" s="963"/>
      <c r="PBG188" s="2242"/>
      <c r="PBH188" s="1360"/>
      <c r="PBI188" s="955"/>
      <c r="PBJ188" s="1361"/>
      <c r="PBK188" s="1360"/>
      <c r="PBL188" s="1925"/>
      <c r="PBM188" s="955"/>
      <c r="PBN188" s="963"/>
      <c r="PBO188" s="2242"/>
      <c r="PBP188" s="1360"/>
      <c r="PBQ188" s="955"/>
      <c r="PBR188" s="1361"/>
      <c r="PBS188" s="1360"/>
      <c r="PBT188" s="1925"/>
      <c r="PBU188" s="955"/>
      <c r="PBV188" s="963"/>
      <c r="PBW188" s="2242"/>
      <c r="PBX188" s="1360"/>
      <c r="PBY188" s="955"/>
      <c r="PBZ188" s="1361"/>
      <c r="PCA188" s="1360"/>
      <c r="PCB188" s="1925"/>
      <c r="PCC188" s="955"/>
      <c r="PCD188" s="963"/>
      <c r="PCE188" s="2242"/>
      <c r="PCF188" s="1360"/>
      <c r="PCG188" s="955"/>
      <c r="PCH188" s="1361"/>
      <c r="PCI188" s="1360"/>
      <c r="PCJ188" s="1925"/>
      <c r="PCK188" s="955"/>
      <c r="PCL188" s="963"/>
      <c r="PCM188" s="2242"/>
      <c r="PCN188" s="1360"/>
      <c r="PCO188" s="955"/>
      <c r="PCP188" s="1361"/>
      <c r="PCQ188" s="1360"/>
      <c r="PCR188" s="1925"/>
      <c r="PCS188" s="955"/>
      <c r="PCT188" s="963"/>
      <c r="PCU188" s="2242"/>
      <c r="PCV188" s="1360"/>
      <c r="PCW188" s="955"/>
      <c r="PCX188" s="1361"/>
      <c r="PCY188" s="1360"/>
      <c r="PCZ188" s="1925"/>
      <c r="PDA188" s="955"/>
      <c r="PDB188" s="963"/>
      <c r="PDC188" s="2242"/>
      <c r="PDD188" s="1360"/>
      <c r="PDE188" s="955"/>
      <c r="PDF188" s="1361"/>
      <c r="PDG188" s="1360"/>
      <c r="PDH188" s="1925"/>
      <c r="PDI188" s="955"/>
      <c r="PDJ188" s="963"/>
      <c r="PDK188" s="2242"/>
      <c r="PDL188" s="1360"/>
      <c r="PDM188" s="955"/>
      <c r="PDN188" s="1361"/>
      <c r="PDO188" s="1360"/>
      <c r="PDP188" s="1925"/>
      <c r="PDQ188" s="955"/>
      <c r="PDR188" s="963"/>
      <c r="PDS188" s="2242"/>
      <c r="PDT188" s="1360"/>
      <c r="PDU188" s="955"/>
      <c r="PDV188" s="1361"/>
      <c r="PDW188" s="1360"/>
      <c r="PDX188" s="1925"/>
      <c r="PDY188" s="955"/>
      <c r="PDZ188" s="963"/>
      <c r="PEA188" s="2242"/>
      <c r="PEB188" s="1360"/>
      <c r="PEC188" s="955"/>
      <c r="PED188" s="1361"/>
      <c r="PEE188" s="1360"/>
      <c r="PEF188" s="1925"/>
      <c r="PEG188" s="955"/>
      <c r="PEH188" s="963"/>
      <c r="PEI188" s="2242"/>
      <c r="PEJ188" s="1360"/>
      <c r="PEK188" s="955"/>
      <c r="PEL188" s="1361"/>
      <c r="PEM188" s="1360"/>
      <c r="PEN188" s="1925"/>
      <c r="PEO188" s="955"/>
      <c r="PEP188" s="963"/>
      <c r="PEQ188" s="2242"/>
      <c r="PER188" s="1360"/>
      <c r="PES188" s="955"/>
      <c r="PET188" s="1361"/>
      <c r="PEU188" s="1360"/>
      <c r="PEV188" s="1925"/>
      <c r="PEW188" s="955"/>
      <c r="PEX188" s="963"/>
      <c r="PEY188" s="2242"/>
      <c r="PEZ188" s="1360"/>
      <c r="PFA188" s="955"/>
      <c r="PFB188" s="1361"/>
      <c r="PFC188" s="1360"/>
      <c r="PFD188" s="1925"/>
      <c r="PFE188" s="955"/>
      <c r="PFF188" s="963"/>
      <c r="PFG188" s="2242"/>
      <c r="PFH188" s="1360"/>
      <c r="PFI188" s="955"/>
      <c r="PFJ188" s="1361"/>
      <c r="PFK188" s="1360"/>
      <c r="PFL188" s="1925"/>
      <c r="PFM188" s="955"/>
      <c r="PFN188" s="963"/>
      <c r="PFO188" s="2242"/>
      <c r="PFP188" s="1360"/>
      <c r="PFQ188" s="955"/>
      <c r="PFR188" s="1361"/>
      <c r="PFS188" s="1360"/>
      <c r="PFT188" s="1925"/>
      <c r="PFU188" s="955"/>
      <c r="PFV188" s="963"/>
      <c r="PFW188" s="2242"/>
      <c r="PFX188" s="1360"/>
      <c r="PFY188" s="955"/>
      <c r="PFZ188" s="1361"/>
      <c r="PGA188" s="1360"/>
      <c r="PGB188" s="1925"/>
      <c r="PGC188" s="955"/>
      <c r="PGD188" s="963"/>
      <c r="PGE188" s="2242"/>
      <c r="PGF188" s="1360"/>
      <c r="PGG188" s="955"/>
      <c r="PGH188" s="1361"/>
      <c r="PGI188" s="1360"/>
      <c r="PGJ188" s="1925"/>
      <c r="PGK188" s="955"/>
      <c r="PGL188" s="963"/>
      <c r="PGM188" s="2242"/>
      <c r="PGN188" s="1360"/>
      <c r="PGO188" s="955"/>
      <c r="PGP188" s="1361"/>
      <c r="PGQ188" s="1360"/>
      <c r="PGR188" s="1925"/>
      <c r="PGS188" s="955"/>
      <c r="PGT188" s="963"/>
      <c r="PGU188" s="2242"/>
      <c r="PGV188" s="1360"/>
      <c r="PGW188" s="955"/>
      <c r="PGX188" s="1361"/>
      <c r="PGY188" s="1360"/>
      <c r="PGZ188" s="1925"/>
      <c r="PHA188" s="955"/>
      <c r="PHB188" s="963"/>
      <c r="PHC188" s="2242"/>
      <c r="PHD188" s="1360"/>
      <c r="PHE188" s="955"/>
      <c r="PHF188" s="1361"/>
      <c r="PHG188" s="1360"/>
      <c r="PHH188" s="1925"/>
      <c r="PHI188" s="955"/>
      <c r="PHJ188" s="963"/>
      <c r="PHK188" s="2242"/>
      <c r="PHL188" s="1360"/>
      <c r="PHM188" s="955"/>
      <c r="PHN188" s="1361"/>
      <c r="PHO188" s="1360"/>
      <c r="PHP188" s="1925"/>
      <c r="PHQ188" s="955"/>
      <c r="PHR188" s="963"/>
      <c r="PHS188" s="2242"/>
      <c r="PHT188" s="1360"/>
      <c r="PHU188" s="955"/>
      <c r="PHV188" s="1361"/>
      <c r="PHW188" s="1360"/>
      <c r="PHX188" s="1925"/>
      <c r="PHY188" s="955"/>
      <c r="PHZ188" s="963"/>
      <c r="PIA188" s="2242"/>
      <c r="PIB188" s="1360"/>
      <c r="PIC188" s="955"/>
      <c r="PID188" s="1361"/>
      <c r="PIE188" s="1360"/>
      <c r="PIF188" s="1925"/>
      <c r="PIG188" s="955"/>
      <c r="PIH188" s="963"/>
      <c r="PII188" s="2242"/>
      <c r="PIJ188" s="1360"/>
      <c r="PIK188" s="955"/>
      <c r="PIL188" s="1361"/>
      <c r="PIM188" s="1360"/>
      <c r="PIN188" s="1925"/>
      <c r="PIO188" s="955"/>
      <c r="PIP188" s="963"/>
      <c r="PIQ188" s="2242"/>
      <c r="PIR188" s="1360"/>
      <c r="PIS188" s="955"/>
      <c r="PIT188" s="1361"/>
      <c r="PIU188" s="1360"/>
      <c r="PIV188" s="1925"/>
      <c r="PIW188" s="955"/>
      <c r="PIX188" s="963"/>
      <c r="PIY188" s="2242"/>
      <c r="PIZ188" s="1360"/>
      <c r="PJA188" s="955"/>
      <c r="PJB188" s="1361"/>
      <c r="PJC188" s="1360"/>
      <c r="PJD188" s="1925"/>
      <c r="PJE188" s="955"/>
      <c r="PJF188" s="963"/>
      <c r="PJG188" s="2242"/>
      <c r="PJH188" s="1360"/>
      <c r="PJI188" s="955"/>
      <c r="PJJ188" s="1361"/>
      <c r="PJK188" s="1360"/>
      <c r="PJL188" s="1925"/>
      <c r="PJM188" s="955"/>
      <c r="PJN188" s="963"/>
      <c r="PJO188" s="2242"/>
      <c r="PJP188" s="1360"/>
      <c r="PJQ188" s="955"/>
      <c r="PJR188" s="1361"/>
      <c r="PJS188" s="1360"/>
      <c r="PJT188" s="1925"/>
      <c r="PJU188" s="955"/>
      <c r="PJV188" s="963"/>
      <c r="PJW188" s="2242"/>
      <c r="PJX188" s="1360"/>
      <c r="PJY188" s="955"/>
      <c r="PJZ188" s="1361"/>
      <c r="PKA188" s="1360"/>
      <c r="PKB188" s="1925"/>
      <c r="PKC188" s="955"/>
      <c r="PKD188" s="963"/>
      <c r="PKE188" s="2242"/>
      <c r="PKF188" s="1360"/>
      <c r="PKG188" s="955"/>
      <c r="PKH188" s="1361"/>
      <c r="PKI188" s="1360"/>
      <c r="PKJ188" s="1925"/>
      <c r="PKK188" s="955"/>
      <c r="PKL188" s="963"/>
      <c r="PKM188" s="2242"/>
      <c r="PKN188" s="1360"/>
      <c r="PKO188" s="955"/>
      <c r="PKP188" s="1361"/>
      <c r="PKQ188" s="1360"/>
      <c r="PKR188" s="1925"/>
      <c r="PKS188" s="955"/>
      <c r="PKT188" s="963"/>
      <c r="PKU188" s="2242"/>
      <c r="PKV188" s="1360"/>
      <c r="PKW188" s="955"/>
      <c r="PKX188" s="1361"/>
      <c r="PKY188" s="1360"/>
      <c r="PKZ188" s="1925"/>
      <c r="PLA188" s="955"/>
      <c r="PLB188" s="963"/>
      <c r="PLC188" s="2242"/>
      <c r="PLD188" s="1360"/>
      <c r="PLE188" s="955"/>
      <c r="PLF188" s="1361"/>
      <c r="PLG188" s="1360"/>
      <c r="PLH188" s="1925"/>
      <c r="PLI188" s="955"/>
      <c r="PLJ188" s="963"/>
      <c r="PLK188" s="2242"/>
      <c r="PLL188" s="1360"/>
      <c r="PLM188" s="955"/>
      <c r="PLN188" s="1361"/>
      <c r="PLO188" s="1360"/>
      <c r="PLP188" s="1925"/>
      <c r="PLQ188" s="955"/>
      <c r="PLR188" s="963"/>
      <c r="PLS188" s="2242"/>
      <c r="PLT188" s="1360"/>
      <c r="PLU188" s="955"/>
      <c r="PLV188" s="1361"/>
      <c r="PLW188" s="1360"/>
      <c r="PLX188" s="1925"/>
      <c r="PLY188" s="955"/>
      <c r="PLZ188" s="963"/>
      <c r="PMA188" s="2242"/>
      <c r="PMB188" s="1360"/>
      <c r="PMC188" s="955"/>
      <c r="PMD188" s="1361"/>
      <c r="PME188" s="1360"/>
      <c r="PMF188" s="1925"/>
      <c r="PMG188" s="955"/>
      <c r="PMH188" s="963"/>
      <c r="PMI188" s="2242"/>
      <c r="PMJ188" s="1360"/>
      <c r="PMK188" s="955"/>
      <c r="PML188" s="1361"/>
      <c r="PMM188" s="1360"/>
      <c r="PMN188" s="1925"/>
      <c r="PMO188" s="955"/>
      <c r="PMP188" s="963"/>
      <c r="PMQ188" s="2242"/>
      <c r="PMR188" s="1360"/>
      <c r="PMS188" s="955"/>
      <c r="PMT188" s="1361"/>
      <c r="PMU188" s="1360"/>
      <c r="PMV188" s="1925"/>
      <c r="PMW188" s="955"/>
      <c r="PMX188" s="963"/>
      <c r="PMY188" s="2242"/>
      <c r="PMZ188" s="1360"/>
      <c r="PNA188" s="955"/>
      <c r="PNB188" s="1361"/>
      <c r="PNC188" s="1360"/>
      <c r="PND188" s="1925"/>
      <c r="PNE188" s="955"/>
      <c r="PNF188" s="963"/>
      <c r="PNG188" s="2242"/>
      <c r="PNH188" s="1360"/>
      <c r="PNI188" s="955"/>
      <c r="PNJ188" s="1361"/>
      <c r="PNK188" s="1360"/>
      <c r="PNL188" s="1925"/>
      <c r="PNM188" s="955"/>
      <c r="PNN188" s="963"/>
      <c r="PNO188" s="2242"/>
      <c r="PNP188" s="1360"/>
      <c r="PNQ188" s="955"/>
      <c r="PNR188" s="1361"/>
      <c r="PNS188" s="1360"/>
      <c r="PNT188" s="1925"/>
      <c r="PNU188" s="955"/>
      <c r="PNV188" s="963"/>
      <c r="PNW188" s="2242"/>
      <c r="PNX188" s="1360"/>
      <c r="PNY188" s="955"/>
      <c r="PNZ188" s="1361"/>
      <c r="POA188" s="1360"/>
      <c r="POB188" s="1925"/>
      <c r="POC188" s="955"/>
      <c r="POD188" s="963"/>
      <c r="POE188" s="2242"/>
      <c r="POF188" s="1360"/>
      <c r="POG188" s="955"/>
      <c r="POH188" s="1361"/>
      <c r="POI188" s="1360"/>
      <c r="POJ188" s="1925"/>
      <c r="POK188" s="955"/>
      <c r="POL188" s="963"/>
      <c r="POM188" s="2242"/>
      <c r="PON188" s="1360"/>
      <c r="POO188" s="955"/>
      <c r="POP188" s="1361"/>
      <c r="POQ188" s="1360"/>
      <c r="POR188" s="1925"/>
      <c r="POS188" s="955"/>
      <c r="POT188" s="963"/>
      <c r="POU188" s="2242"/>
      <c r="POV188" s="1360"/>
      <c r="POW188" s="955"/>
      <c r="POX188" s="1361"/>
      <c r="POY188" s="1360"/>
      <c r="POZ188" s="1925"/>
      <c r="PPA188" s="955"/>
      <c r="PPB188" s="963"/>
      <c r="PPC188" s="2242"/>
      <c r="PPD188" s="1360"/>
      <c r="PPE188" s="955"/>
      <c r="PPF188" s="1361"/>
      <c r="PPG188" s="1360"/>
      <c r="PPH188" s="1925"/>
      <c r="PPI188" s="955"/>
      <c r="PPJ188" s="963"/>
      <c r="PPK188" s="2242"/>
      <c r="PPL188" s="1360"/>
      <c r="PPM188" s="955"/>
      <c r="PPN188" s="1361"/>
      <c r="PPO188" s="1360"/>
      <c r="PPP188" s="1925"/>
      <c r="PPQ188" s="955"/>
      <c r="PPR188" s="963"/>
      <c r="PPS188" s="2242"/>
      <c r="PPT188" s="1360"/>
      <c r="PPU188" s="955"/>
      <c r="PPV188" s="1361"/>
      <c r="PPW188" s="1360"/>
      <c r="PPX188" s="1925"/>
      <c r="PPY188" s="955"/>
      <c r="PPZ188" s="963"/>
      <c r="PQA188" s="2242"/>
      <c r="PQB188" s="1360"/>
      <c r="PQC188" s="955"/>
      <c r="PQD188" s="1361"/>
      <c r="PQE188" s="1360"/>
      <c r="PQF188" s="1925"/>
      <c r="PQG188" s="955"/>
      <c r="PQH188" s="963"/>
      <c r="PQI188" s="2242"/>
      <c r="PQJ188" s="1360"/>
      <c r="PQK188" s="955"/>
      <c r="PQL188" s="1361"/>
      <c r="PQM188" s="1360"/>
      <c r="PQN188" s="1925"/>
      <c r="PQO188" s="955"/>
      <c r="PQP188" s="963"/>
      <c r="PQQ188" s="2242"/>
      <c r="PQR188" s="1360"/>
      <c r="PQS188" s="955"/>
      <c r="PQT188" s="1361"/>
      <c r="PQU188" s="1360"/>
      <c r="PQV188" s="1925"/>
      <c r="PQW188" s="955"/>
      <c r="PQX188" s="963"/>
      <c r="PQY188" s="2242"/>
      <c r="PQZ188" s="1360"/>
      <c r="PRA188" s="955"/>
      <c r="PRB188" s="1361"/>
      <c r="PRC188" s="1360"/>
      <c r="PRD188" s="1925"/>
      <c r="PRE188" s="955"/>
      <c r="PRF188" s="963"/>
      <c r="PRG188" s="2242"/>
      <c r="PRH188" s="1360"/>
      <c r="PRI188" s="955"/>
      <c r="PRJ188" s="1361"/>
      <c r="PRK188" s="1360"/>
      <c r="PRL188" s="1925"/>
      <c r="PRM188" s="955"/>
      <c r="PRN188" s="963"/>
      <c r="PRO188" s="2242"/>
      <c r="PRP188" s="1360"/>
      <c r="PRQ188" s="955"/>
      <c r="PRR188" s="1361"/>
      <c r="PRS188" s="1360"/>
      <c r="PRT188" s="1925"/>
      <c r="PRU188" s="955"/>
      <c r="PRV188" s="963"/>
      <c r="PRW188" s="2242"/>
      <c r="PRX188" s="1360"/>
      <c r="PRY188" s="955"/>
      <c r="PRZ188" s="1361"/>
      <c r="PSA188" s="1360"/>
      <c r="PSB188" s="1925"/>
      <c r="PSC188" s="955"/>
      <c r="PSD188" s="963"/>
      <c r="PSE188" s="2242"/>
      <c r="PSF188" s="1360"/>
      <c r="PSG188" s="955"/>
      <c r="PSH188" s="1361"/>
      <c r="PSI188" s="1360"/>
      <c r="PSJ188" s="1925"/>
      <c r="PSK188" s="955"/>
      <c r="PSL188" s="963"/>
      <c r="PSM188" s="2242"/>
      <c r="PSN188" s="1360"/>
      <c r="PSO188" s="955"/>
      <c r="PSP188" s="1361"/>
      <c r="PSQ188" s="1360"/>
      <c r="PSR188" s="1925"/>
      <c r="PSS188" s="955"/>
      <c r="PST188" s="963"/>
      <c r="PSU188" s="2242"/>
      <c r="PSV188" s="1360"/>
      <c r="PSW188" s="955"/>
      <c r="PSX188" s="1361"/>
      <c r="PSY188" s="1360"/>
      <c r="PSZ188" s="1925"/>
      <c r="PTA188" s="955"/>
      <c r="PTB188" s="963"/>
      <c r="PTC188" s="2242"/>
      <c r="PTD188" s="1360"/>
      <c r="PTE188" s="955"/>
      <c r="PTF188" s="1361"/>
      <c r="PTG188" s="1360"/>
      <c r="PTH188" s="1925"/>
      <c r="PTI188" s="955"/>
      <c r="PTJ188" s="963"/>
      <c r="PTK188" s="2242"/>
      <c r="PTL188" s="1360"/>
      <c r="PTM188" s="955"/>
      <c r="PTN188" s="1361"/>
      <c r="PTO188" s="1360"/>
      <c r="PTP188" s="1925"/>
      <c r="PTQ188" s="955"/>
      <c r="PTR188" s="963"/>
      <c r="PTS188" s="2242"/>
      <c r="PTT188" s="1360"/>
      <c r="PTU188" s="955"/>
      <c r="PTV188" s="1361"/>
      <c r="PTW188" s="1360"/>
      <c r="PTX188" s="1925"/>
      <c r="PTY188" s="955"/>
      <c r="PTZ188" s="963"/>
      <c r="PUA188" s="2242"/>
      <c r="PUB188" s="1360"/>
      <c r="PUC188" s="955"/>
      <c r="PUD188" s="1361"/>
      <c r="PUE188" s="1360"/>
      <c r="PUF188" s="1925"/>
      <c r="PUG188" s="955"/>
      <c r="PUH188" s="963"/>
      <c r="PUI188" s="2242"/>
      <c r="PUJ188" s="1360"/>
      <c r="PUK188" s="955"/>
      <c r="PUL188" s="1361"/>
      <c r="PUM188" s="1360"/>
      <c r="PUN188" s="1925"/>
      <c r="PUO188" s="955"/>
      <c r="PUP188" s="963"/>
      <c r="PUQ188" s="2242"/>
      <c r="PUR188" s="1360"/>
      <c r="PUS188" s="955"/>
      <c r="PUT188" s="1361"/>
      <c r="PUU188" s="1360"/>
      <c r="PUV188" s="1925"/>
      <c r="PUW188" s="955"/>
      <c r="PUX188" s="963"/>
      <c r="PUY188" s="2242"/>
      <c r="PUZ188" s="1360"/>
      <c r="PVA188" s="955"/>
      <c r="PVB188" s="1361"/>
      <c r="PVC188" s="1360"/>
      <c r="PVD188" s="1925"/>
      <c r="PVE188" s="955"/>
      <c r="PVF188" s="963"/>
      <c r="PVG188" s="2242"/>
      <c r="PVH188" s="1360"/>
      <c r="PVI188" s="955"/>
      <c r="PVJ188" s="1361"/>
      <c r="PVK188" s="1360"/>
      <c r="PVL188" s="1925"/>
      <c r="PVM188" s="955"/>
      <c r="PVN188" s="963"/>
      <c r="PVO188" s="2242"/>
      <c r="PVP188" s="1360"/>
      <c r="PVQ188" s="955"/>
      <c r="PVR188" s="1361"/>
      <c r="PVS188" s="1360"/>
      <c r="PVT188" s="1925"/>
      <c r="PVU188" s="955"/>
      <c r="PVV188" s="963"/>
      <c r="PVW188" s="2242"/>
      <c r="PVX188" s="1360"/>
      <c r="PVY188" s="955"/>
      <c r="PVZ188" s="1361"/>
      <c r="PWA188" s="1360"/>
      <c r="PWB188" s="1925"/>
      <c r="PWC188" s="955"/>
      <c r="PWD188" s="963"/>
      <c r="PWE188" s="2242"/>
      <c r="PWF188" s="1360"/>
      <c r="PWG188" s="955"/>
      <c r="PWH188" s="1361"/>
      <c r="PWI188" s="1360"/>
      <c r="PWJ188" s="1925"/>
      <c r="PWK188" s="955"/>
      <c r="PWL188" s="963"/>
      <c r="PWM188" s="2242"/>
      <c r="PWN188" s="1360"/>
      <c r="PWO188" s="955"/>
      <c r="PWP188" s="1361"/>
      <c r="PWQ188" s="1360"/>
      <c r="PWR188" s="1925"/>
      <c r="PWS188" s="955"/>
      <c r="PWT188" s="963"/>
      <c r="PWU188" s="2242"/>
      <c r="PWV188" s="1360"/>
      <c r="PWW188" s="955"/>
      <c r="PWX188" s="1361"/>
      <c r="PWY188" s="1360"/>
      <c r="PWZ188" s="1925"/>
      <c r="PXA188" s="955"/>
      <c r="PXB188" s="963"/>
      <c r="PXC188" s="2242"/>
      <c r="PXD188" s="1360"/>
      <c r="PXE188" s="955"/>
      <c r="PXF188" s="1361"/>
      <c r="PXG188" s="1360"/>
      <c r="PXH188" s="1925"/>
      <c r="PXI188" s="955"/>
      <c r="PXJ188" s="963"/>
      <c r="PXK188" s="2242"/>
      <c r="PXL188" s="1360"/>
      <c r="PXM188" s="955"/>
      <c r="PXN188" s="1361"/>
      <c r="PXO188" s="1360"/>
      <c r="PXP188" s="1925"/>
      <c r="PXQ188" s="955"/>
      <c r="PXR188" s="963"/>
      <c r="PXS188" s="2242"/>
      <c r="PXT188" s="1360"/>
      <c r="PXU188" s="955"/>
      <c r="PXV188" s="1361"/>
      <c r="PXW188" s="1360"/>
      <c r="PXX188" s="1925"/>
      <c r="PXY188" s="955"/>
      <c r="PXZ188" s="963"/>
      <c r="PYA188" s="2242"/>
      <c r="PYB188" s="1360"/>
      <c r="PYC188" s="955"/>
      <c r="PYD188" s="1361"/>
      <c r="PYE188" s="1360"/>
      <c r="PYF188" s="1925"/>
      <c r="PYG188" s="955"/>
      <c r="PYH188" s="963"/>
      <c r="PYI188" s="2242"/>
      <c r="PYJ188" s="1360"/>
      <c r="PYK188" s="955"/>
      <c r="PYL188" s="1361"/>
      <c r="PYM188" s="1360"/>
      <c r="PYN188" s="1925"/>
      <c r="PYO188" s="955"/>
      <c r="PYP188" s="963"/>
      <c r="PYQ188" s="2242"/>
      <c r="PYR188" s="1360"/>
      <c r="PYS188" s="955"/>
      <c r="PYT188" s="1361"/>
      <c r="PYU188" s="1360"/>
      <c r="PYV188" s="1925"/>
      <c r="PYW188" s="955"/>
      <c r="PYX188" s="963"/>
      <c r="PYY188" s="2242"/>
      <c r="PYZ188" s="1360"/>
      <c r="PZA188" s="955"/>
      <c r="PZB188" s="1361"/>
      <c r="PZC188" s="1360"/>
      <c r="PZD188" s="1925"/>
      <c r="PZE188" s="955"/>
      <c r="PZF188" s="963"/>
      <c r="PZG188" s="2242"/>
      <c r="PZH188" s="1360"/>
      <c r="PZI188" s="955"/>
      <c r="PZJ188" s="1361"/>
      <c r="PZK188" s="1360"/>
      <c r="PZL188" s="1925"/>
      <c r="PZM188" s="955"/>
      <c r="PZN188" s="963"/>
      <c r="PZO188" s="2242"/>
      <c r="PZP188" s="1360"/>
      <c r="PZQ188" s="955"/>
      <c r="PZR188" s="1361"/>
      <c r="PZS188" s="1360"/>
      <c r="PZT188" s="1925"/>
      <c r="PZU188" s="955"/>
      <c r="PZV188" s="963"/>
      <c r="PZW188" s="2242"/>
      <c r="PZX188" s="1360"/>
      <c r="PZY188" s="955"/>
      <c r="PZZ188" s="1361"/>
      <c r="QAA188" s="1360"/>
      <c r="QAB188" s="1925"/>
      <c r="QAC188" s="955"/>
      <c r="QAD188" s="963"/>
      <c r="QAE188" s="2242"/>
      <c r="QAF188" s="1360"/>
      <c r="QAG188" s="955"/>
      <c r="QAH188" s="1361"/>
      <c r="QAI188" s="1360"/>
      <c r="QAJ188" s="1925"/>
      <c r="QAK188" s="955"/>
      <c r="QAL188" s="963"/>
      <c r="QAM188" s="2242"/>
      <c r="QAN188" s="1360"/>
      <c r="QAO188" s="955"/>
      <c r="QAP188" s="1361"/>
      <c r="QAQ188" s="1360"/>
      <c r="QAR188" s="1925"/>
      <c r="QAS188" s="955"/>
      <c r="QAT188" s="963"/>
      <c r="QAU188" s="2242"/>
      <c r="QAV188" s="1360"/>
      <c r="QAW188" s="955"/>
      <c r="QAX188" s="1361"/>
      <c r="QAY188" s="1360"/>
      <c r="QAZ188" s="1925"/>
      <c r="QBA188" s="955"/>
      <c r="QBB188" s="963"/>
      <c r="QBC188" s="2242"/>
      <c r="QBD188" s="1360"/>
      <c r="QBE188" s="955"/>
      <c r="QBF188" s="1361"/>
      <c r="QBG188" s="1360"/>
      <c r="QBH188" s="1925"/>
      <c r="QBI188" s="955"/>
      <c r="QBJ188" s="963"/>
      <c r="QBK188" s="2242"/>
      <c r="QBL188" s="1360"/>
      <c r="QBM188" s="955"/>
      <c r="QBN188" s="1361"/>
      <c r="QBO188" s="1360"/>
      <c r="QBP188" s="1925"/>
      <c r="QBQ188" s="955"/>
      <c r="QBR188" s="963"/>
      <c r="QBS188" s="2242"/>
      <c r="QBT188" s="1360"/>
      <c r="QBU188" s="955"/>
      <c r="QBV188" s="1361"/>
      <c r="QBW188" s="1360"/>
      <c r="QBX188" s="1925"/>
      <c r="QBY188" s="955"/>
      <c r="QBZ188" s="963"/>
      <c r="QCA188" s="2242"/>
      <c r="QCB188" s="1360"/>
      <c r="QCC188" s="955"/>
      <c r="QCD188" s="1361"/>
      <c r="QCE188" s="1360"/>
      <c r="QCF188" s="1925"/>
      <c r="QCG188" s="955"/>
      <c r="QCH188" s="963"/>
      <c r="QCI188" s="2242"/>
      <c r="QCJ188" s="1360"/>
      <c r="QCK188" s="955"/>
      <c r="QCL188" s="1361"/>
      <c r="QCM188" s="1360"/>
      <c r="QCN188" s="1925"/>
      <c r="QCO188" s="955"/>
      <c r="QCP188" s="963"/>
      <c r="QCQ188" s="2242"/>
      <c r="QCR188" s="1360"/>
      <c r="QCS188" s="955"/>
      <c r="QCT188" s="1361"/>
      <c r="QCU188" s="1360"/>
      <c r="QCV188" s="1925"/>
      <c r="QCW188" s="955"/>
      <c r="QCX188" s="963"/>
      <c r="QCY188" s="2242"/>
      <c r="QCZ188" s="1360"/>
      <c r="QDA188" s="955"/>
      <c r="QDB188" s="1361"/>
      <c r="QDC188" s="1360"/>
      <c r="QDD188" s="1925"/>
      <c r="QDE188" s="955"/>
      <c r="QDF188" s="963"/>
      <c r="QDG188" s="2242"/>
      <c r="QDH188" s="1360"/>
      <c r="QDI188" s="955"/>
      <c r="QDJ188" s="1361"/>
      <c r="QDK188" s="1360"/>
      <c r="QDL188" s="1925"/>
      <c r="QDM188" s="955"/>
      <c r="QDN188" s="963"/>
      <c r="QDO188" s="2242"/>
      <c r="QDP188" s="1360"/>
      <c r="QDQ188" s="955"/>
      <c r="QDR188" s="1361"/>
      <c r="QDS188" s="1360"/>
      <c r="QDT188" s="1925"/>
      <c r="QDU188" s="955"/>
      <c r="QDV188" s="963"/>
      <c r="QDW188" s="2242"/>
      <c r="QDX188" s="1360"/>
      <c r="QDY188" s="955"/>
      <c r="QDZ188" s="1361"/>
      <c r="QEA188" s="1360"/>
      <c r="QEB188" s="1925"/>
      <c r="QEC188" s="955"/>
      <c r="QED188" s="963"/>
      <c r="QEE188" s="2242"/>
      <c r="QEF188" s="1360"/>
      <c r="QEG188" s="955"/>
      <c r="QEH188" s="1361"/>
      <c r="QEI188" s="1360"/>
      <c r="QEJ188" s="1925"/>
      <c r="QEK188" s="955"/>
      <c r="QEL188" s="963"/>
      <c r="QEM188" s="2242"/>
      <c r="QEN188" s="1360"/>
      <c r="QEO188" s="955"/>
      <c r="QEP188" s="1361"/>
      <c r="QEQ188" s="1360"/>
      <c r="QER188" s="1925"/>
      <c r="QES188" s="955"/>
      <c r="QET188" s="963"/>
      <c r="QEU188" s="2242"/>
      <c r="QEV188" s="1360"/>
      <c r="QEW188" s="955"/>
      <c r="QEX188" s="1361"/>
      <c r="QEY188" s="1360"/>
      <c r="QEZ188" s="1925"/>
      <c r="QFA188" s="955"/>
      <c r="QFB188" s="963"/>
      <c r="QFC188" s="2242"/>
      <c r="QFD188" s="1360"/>
      <c r="QFE188" s="955"/>
      <c r="QFF188" s="1361"/>
      <c r="QFG188" s="1360"/>
      <c r="QFH188" s="1925"/>
      <c r="QFI188" s="955"/>
      <c r="QFJ188" s="963"/>
      <c r="QFK188" s="2242"/>
      <c r="QFL188" s="1360"/>
      <c r="QFM188" s="955"/>
      <c r="QFN188" s="1361"/>
      <c r="QFO188" s="1360"/>
      <c r="QFP188" s="1925"/>
      <c r="QFQ188" s="955"/>
      <c r="QFR188" s="963"/>
      <c r="QFS188" s="2242"/>
      <c r="QFT188" s="1360"/>
      <c r="QFU188" s="955"/>
      <c r="QFV188" s="1361"/>
      <c r="QFW188" s="1360"/>
      <c r="QFX188" s="1925"/>
      <c r="QFY188" s="955"/>
      <c r="QFZ188" s="963"/>
      <c r="QGA188" s="2242"/>
      <c r="QGB188" s="1360"/>
      <c r="QGC188" s="955"/>
      <c r="QGD188" s="1361"/>
      <c r="QGE188" s="1360"/>
      <c r="QGF188" s="1925"/>
      <c r="QGG188" s="955"/>
      <c r="QGH188" s="963"/>
      <c r="QGI188" s="2242"/>
      <c r="QGJ188" s="1360"/>
      <c r="QGK188" s="955"/>
      <c r="QGL188" s="1361"/>
      <c r="QGM188" s="1360"/>
      <c r="QGN188" s="1925"/>
      <c r="QGO188" s="955"/>
      <c r="QGP188" s="963"/>
      <c r="QGQ188" s="2242"/>
      <c r="QGR188" s="1360"/>
      <c r="QGS188" s="955"/>
      <c r="QGT188" s="1361"/>
      <c r="QGU188" s="1360"/>
      <c r="QGV188" s="1925"/>
      <c r="QGW188" s="955"/>
      <c r="QGX188" s="963"/>
      <c r="QGY188" s="2242"/>
      <c r="QGZ188" s="1360"/>
      <c r="QHA188" s="955"/>
      <c r="QHB188" s="1361"/>
      <c r="QHC188" s="1360"/>
      <c r="QHD188" s="1925"/>
      <c r="QHE188" s="955"/>
      <c r="QHF188" s="963"/>
      <c r="QHG188" s="2242"/>
      <c r="QHH188" s="1360"/>
      <c r="QHI188" s="955"/>
      <c r="QHJ188" s="1361"/>
      <c r="QHK188" s="1360"/>
      <c r="QHL188" s="1925"/>
      <c r="QHM188" s="955"/>
      <c r="QHN188" s="963"/>
      <c r="QHO188" s="2242"/>
      <c r="QHP188" s="1360"/>
      <c r="QHQ188" s="955"/>
      <c r="QHR188" s="1361"/>
      <c r="QHS188" s="1360"/>
      <c r="QHT188" s="1925"/>
      <c r="QHU188" s="955"/>
      <c r="QHV188" s="963"/>
      <c r="QHW188" s="2242"/>
      <c r="QHX188" s="1360"/>
      <c r="QHY188" s="955"/>
      <c r="QHZ188" s="1361"/>
      <c r="QIA188" s="1360"/>
      <c r="QIB188" s="1925"/>
      <c r="QIC188" s="955"/>
      <c r="QID188" s="963"/>
      <c r="QIE188" s="2242"/>
      <c r="QIF188" s="1360"/>
      <c r="QIG188" s="955"/>
      <c r="QIH188" s="1361"/>
      <c r="QII188" s="1360"/>
      <c r="QIJ188" s="1925"/>
      <c r="QIK188" s="955"/>
      <c r="QIL188" s="963"/>
      <c r="QIM188" s="2242"/>
      <c r="QIN188" s="1360"/>
      <c r="QIO188" s="955"/>
      <c r="QIP188" s="1361"/>
      <c r="QIQ188" s="1360"/>
      <c r="QIR188" s="1925"/>
      <c r="QIS188" s="955"/>
      <c r="QIT188" s="963"/>
      <c r="QIU188" s="2242"/>
      <c r="QIV188" s="1360"/>
      <c r="QIW188" s="955"/>
      <c r="QIX188" s="1361"/>
      <c r="QIY188" s="1360"/>
      <c r="QIZ188" s="1925"/>
      <c r="QJA188" s="955"/>
      <c r="QJB188" s="963"/>
      <c r="QJC188" s="2242"/>
      <c r="QJD188" s="1360"/>
      <c r="QJE188" s="955"/>
      <c r="QJF188" s="1361"/>
      <c r="QJG188" s="1360"/>
      <c r="QJH188" s="1925"/>
      <c r="QJI188" s="955"/>
      <c r="QJJ188" s="963"/>
      <c r="QJK188" s="2242"/>
      <c r="QJL188" s="1360"/>
      <c r="QJM188" s="955"/>
      <c r="QJN188" s="1361"/>
      <c r="QJO188" s="1360"/>
      <c r="QJP188" s="1925"/>
      <c r="QJQ188" s="955"/>
      <c r="QJR188" s="963"/>
      <c r="QJS188" s="2242"/>
      <c r="QJT188" s="1360"/>
      <c r="QJU188" s="955"/>
      <c r="QJV188" s="1361"/>
      <c r="QJW188" s="1360"/>
      <c r="QJX188" s="1925"/>
      <c r="QJY188" s="955"/>
      <c r="QJZ188" s="963"/>
      <c r="QKA188" s="2242"/>
      <c r="QKB188" s="1360"/>
      <c r="QKC188" s="955"/>
      <c r="QKD188" s="1361"/>
      <c r="QKE188" s="1360"/>
      <c r="QKF188" s="1925"/>
      <c r="QKG188" s="955"/>
      <c r="QKH188" s="963"/>
      <c r="QKI188" s="2242"/>
      <c r="QKJ188" s="1360"/>
      <c r="QKK188" s="955"/>
      <c r="QKL188" s="1361"/>
      <c r="QKM188" s="1360"/>
      <c r="QKN188" s="1925"/>
      <c r="QKO188" s="955"/>
      <c r="QKP188" s="963"/>
      <c r="QKQ188" s="2242"/>
      <c r="QKR188" s="1360"/>
      <c r="QKS188" s="955"/>
      <c r="QKT188" s="1361"/>
      <c r="QKU188" s="1360"/>
      <c r="QKV188" s="1925"/>
      <c r="QKW188" s="955"/>
      <c r="QKX188" s="963"/>
      <c r="QKY188" s="2242"/>
      <c r="QKZ188" s="1360"/>
      <c r="QLA188" s="955"/>
      <c r="QLB188" s="1361"/>
      <c r="QLC188" s="1360"/>
      <c r="QLD188" s="1925"/>
      <c r="QLE188" s="955"/>
      <c r="QLF188" s="963"/>
      <c r="QLG188" s="2242"/>
      <c r="QLH188" s="1360"/>
      <c r="QLI188" s="955"/>
      <c r="QLJ188" s="1361"/>
      <c r="QLK188" s="1360"/>
      <c r="QLL188" s="1925"/>
      <c r="QLM188" s="955"/>
      <c r="QLN188" s="963"/>
      <c r="QLO188" s="2242"/>
      <c r="QLP188" s="1360"/>
      <c r="QLQ188" s="955"/>
      <c r="QLR188" s="1361"/>
      <c r="QLS188" s="1360"/>
      <c r="QLT188" s="1925"/>
      <c r="QLU188" s="955"/>
      <c r="QLV188" s="963"/>
      <c r="QLW188" s="2242"/>
      <c r="QLX188" s="1360"/>
      <c r="QLY188" s="955"/>
      <c r="QLZ188" s="1361"/>
      <c r="QMA188" s="1360"/>
      <c r="QMB188" s="1925"/>
      <c r="QMC188" s="955"/>
      <c r="QMD188" s="963"/>
      <c r="QME188" s="2242"/>
      <c r="QMF188" s="1360"/>
      <c r="QMG188" s="955"/>
      <c r="QMH188" s="1361"/>
      <c r="QMI188" s="1360"/>
      <c r="QMJ188" s="1925"/>
      <c r="QMK188" s="955"/>
      <c r="QML188" s="963"/>
      <c r="QMM188" s="2242"/>
      <c r="QMN188" s="1360"/>
      <c r="QMO188" s="955"/>
      <c r="QMP188" s="1361"/>
      <c r="QMQ188" s="1360"/>
      <c r="QMR188" s="1925"/>
      <c r="QMS188" s="955"/>
      <c r="QMT188" s="963"/>
      <c r="QMU188" s="2242"/>
      <c r="QMV188" s="1360"/>
      <c r="QMW188" s="955"/>
      <c r="QMX188" s="1361"/>
      <c r="QMY188" s="1360"/>
      <c r="QMZ188" s="1925"/>
      <c r="QNA188" s="955"/>
      <c r="QNB188" s="963"/>
      <c r="QNC188" s="2242"/>
      <c r="QND188" s="1360"/>
      <c r="QNE188" s="955"/>
      <c r="QNF188" s="1361"/>
      <c r="QNG188" s="1360"/>
      <c r="QNH188" s="1925"/>
      <c r="QNI188" s="955"/>
      <c r="QNJ188" s="963"/>
      <c r="QNK188" s="2242"/>
      <c r="QNL188" s="1360"/>
      <c r="QNM188" s="955"/>
      <c r="QNN188" s="1361"/>
      <c r="QNO188" s="1360"/>
      <c r="QNP188" s="1925"/>
      <c r="QNQ188" s="955"/>
      <c r="QNR188" s="963"/>
      <c r="QNS188" s="2242"/>
      <c r="QNT188" s="1360"/>
      <c r="QNU188" s="955"/>
      <c r="QNV188" s="1361"/>
      <c r="QNW188" s="1360"/>
      <c r="QNX188" s="1925"/>
      <c r="QNY188" s="955"/>
      <c r="QNZ188" s="963"/>
      <c r="QOA188" s="2242"/>
      <c r="QOB188" s="1360"/>
      <c r="QOC188" s="955"/>
      <c r="QOD188" s="1361"/>
      <c r="QOE188" s="1360"/>
      <c r="QOF188" s="1925"/>
      <c r="QOG188" s="955"/>
      <c r="QOH188" s="963"/>
      <c r="QOI188" s="2242"/>
      <c r="QOJ188" s="1360"/>
      <c r="QOK188" s="955"/>
      <c r="QOL188" s="1361"/>
      <c r="QOM188" s="1360"/>
      <c r="QON188" s="1925"/>
      <c r="QOO188" s="955"/>
      <c r="QOP188" s="963"/>
      <c r="QOQ188" s="2242"/>
      <c r="QOR188" s="1360"/>
      <c r="QOS188" s="955"/>
      <c r="QOT188" s="1361"/>
      <c r="QOU188" s="1360"/>
      <c r="QOV188" s="1925"/>
      <c r="QOW188" s="955"/>
      <c r="QOX188" s="963"/>
      <c r="QOY188" s="2242"/>
      <c r="QOZ188" s="1360"/>
      <c r="QPA188" s="955"/>
      <c r="QPB188" s="1361"/>
      <c r="QPC188" s="1360"/>
      <c r="QPD188" s="1925"/>
      <c r="QPE188" s="955"/>
      <c r="QPF188" s="963"/>
      <c r="QPG188" s="2242"/>
      <c r="QPH188" s="1360"/>
      <c r="QPI188" s="955"/>
      <c r="QPJ188" s="1361"/>
      <c r="QPK188" s="1360"/>
      <c r="QPL188" s="1925"/>
      <c r="QPM188" s="955"/>
      <c r="QPN188" s="963"/>
      <c r="QPO188" s="2242"/>
      <c r="QPP188" s="1360"/>
      <c r="QPQ188" s="955"/>
      <c r="QPR188" s="1361"/>
      <c r="QPS188" s="1360"/>
      <c r="QPT188" s="1925"/>
      <c r="QPU188" s="955"/>
      <c r="QPV188" s="963"/>
      <c r="QPW188" s="2242"/>
      <c r="QPX188" s="1360"/>
      <c r="QPY188" s="955"/>
      <c r="QPZ188" s="1361"/>
      <c r="QQA188" s="1360"/>
      <c r="QQB188" s="1925"/>
      <c r="QQC188" s="955"/>
      <c r="QQD188" s="963"/>
      <c r="QQE188" s="2242"/>
      <c r="QQF188" s="1360"/>
      <c r="QQG188" s="955"/>
      <c r="QQH188" s="1361"/>
      <c r="QQI188" s="1360"/>
      <c r="QQJ188" s="1925"/>
      <c r="QQK188" s="955"/>
      <c r="QQL188" s="963"/>
      <c r="QQM188" s="2242"/>
      <c r="QQN188" s="1360"/>
      <c r="QQO188" s="955"/>
      <c r="QQP188" s="1361"/>
      <c r="QQQ188" s="1360"/>
      <c r="QQR188" s="1925"/>
      <c r="QQS188" s="955"/>
      <c r="QQT188" s="963"/>
      <c r="QQU188" s="2242"/>
      <c r="QQV188" s="1360"/>
      <c r="QQW188" s="955"/>
      <c r="QQX188" s="1361"/>
      <c r="QQY188" s="1360"/>
      <c r="QQZ188" s="1925"/>
      <c r="QRA188" s="955"/>
      <c r="QRB188" s="963"/>
      <c r="QRC188" s="2242"/>
      <c r="QRD188" s="1360"/>
      <c r="QRE188" s="955"/>
      <c r="QRF188" s="1361"/>
      <c r="QRG188" s="1360"/>
      <c r="QRH188" s="1925"/>
      <c r="QRI188" s="955"/>
      <c r="QRJ188" s="963"/>
      <c r="QRK188" s="2242"/>
      <c r="QRL188" s="1360"/>
      <c r="QRM188" s="955"/>
      <c r="QRN188" s="1361"/>
      <c r="QRO188" s="1360"/>
      <c r="QRP188" s="1925"/>
      <c r="QRQ188" s="955"/>
      <c r="QRR188" s="963"/>
      <c r="QRS188" s="2242"/>
      <c r="QRT188" s="1360"/>
      <c r="QRU188" s="955"/>
      <c r="QRV188" s="1361"/>
      <c r="QRW188" s="1360"/>
      <c r="QRX188" s="1925"/>
      <c r="QRY188" s="955"/>
      <c r="QRZ188" s="963"/>
      <c r="QSA188" s="2242"/>
      <c r="QSB188" s="1360"/>
      <c r="QSC188" s="955"/>
      <c r="QSD188" s="1361"/>
      <c r="QSE188" s="1360"/>
      <c r="QSF188" s="1925"/>
      <c r="QSG188" s="955"/>
      <c r="QSH188" s="963"/>
      <c r="QSI188" s="2242"/>
      <c r="QSJ188" s="1360"/>
      <c r="QSK188" s="955"/>
      <c r="QSL188" s="1361"/>
      <c r="QSM188" s="1360"/>
      <c r="QSN188" s="1925"/>
      <c r="QSO188" s="955"/>
      <c r="QSP188" s="963"/>
      <c r="QSQ188" s="2242"/>
      <c r="QSR188" s="1360"/>
      <c r="QSS188" s="955"/>
      <c r="QST188" s="1361"/>
      <c r="QSU188" s="1360"/>
      <c r="QSV188" s="1925"/>
      <c r="QSW188" s="955"/>
      <c r="QSX188" s="963"/>
      <c r="QSY188" s="2242"/>
      <c r="QSZ188" s="1360"/>
      <c r="QTA188" s="955"/>
      <c r="QTB188" s="1361"/>
      <c r="QTC188" s="1360"/>
      <c r="QTD188" s="1925"/>
      <c r="QTE188" s="955"/>
      <c r="QTF188" s="963"/>
      <c r="QTG188" s="2242"/>
      <c r="QTH188" s="1360"/>
      <c r="QTI188" s="955"/>
      <c r="QTJ188" s="1361"/>
      <c r="QTK188" s="1360"/>
      <c r="QTL188" s="1925"/>
      <c r="QTM188" s="955"/>
      <c r="QTN188" s="963"/>
      <c r="QTO188" s="2242"/>
      <c r="QTP188" s="1360"/>
      <c r="QTQ188" s="955"/>
      <c r="QTR188" s="1361"/>
      <c r="QTS188" s="1360"/>
      <c r="QTT188" s="1925"/>
      <c r="QTU188" s="955"/>
      <c r="QTV188" s="963"/>
      <c r="QTW188" s="2242"/>
      <c r="QTX188" s="1360"/>
      <c r="QTY188" s="955"/>
      <c r="QTZ188" s="1361"/>
      <c r="QUA188" s="1360"/>
      <c r="QUB188" s="1925"/>
      <c r="QUC188" s="955"/>
      <c r="QUD188" s="963"/>
      <c r="QUE188" s="2242"/>
      <c r="QUF188" s="1360"/>
      <c r="QUG188" s="955"/>
      <c r="QUH188" s="1361"/>
      <c r="QUI188" s="1360"/>
      <c r="QUJ188" s="1925"/>
      <c r="QUK188" s="955"/>
      <c r="QUL188" s="963"/>
      <c r="QUM188" s="2242"/>
      <c r="QUN188" s="1360"/>
      <c r="QUO188" s="955"/>
      <c r="QUP188" s="1361"/>
      <c r="QUQ188" s="1360"/>
      <c r="QUR188" s="1925"/>
      <c r="QUS188" s="955"/>
      <c r="QUT188" s="963"/>
      <c r="QUU188" s="2242"/>
      <c r="QUV188" s="1360"/>
      <c r="QUW188" s="955"/>
      <c r="QUX188" s="1361"/>
      <c r="QUY188" s="1360"/>
      <c r="QUZ188" s="1925"/>
      <c r="QVA188" s="955"/>
      <c r="QVB188" s="963"/>
      <c r="QVC188" s="2242"/>
      <c r="QVD188" s="1360"/>
      <c r="QVE188" s="955"/>
      <c r="QVF188" s="1361"/>
      <c r="QVG188" s="1360"/>
      <c r="QVH188" s="1925"/>
      <c r="QVI188" s="955"/>
      <c r="QVJ188" s="963"/>
      <c r="QVK188" s="2242"/>
      <c r="QVL188" s="1360"/>
      <c r="QVM188" s="955"/>
      <c r="QVN188" s="1361"/>
      <c r="QVO188" s="1360"/>
      <c r="QVP188" s="1925"/>
      <c r="QVQ188" s="955"/>
      <c r="QVR188" s="963"/>
      <c r="QVS188" s="2242"/>
      <c r="QVT188" s="1360"/>
      <c r="QVU188" s="955"/>
      <c r="QVV188" s="1361"/>
      <c r="QVW188" s="1360"/>
      <c r="QVX188" s="1925"/>
      <c r="QVY188" s="955"/>
      <c r="QVZ188" s="963"/>
      <c r="QWA188" s="2242"/>
      <c r="QWB188" s="1360"/>
      <c r="QWC188" s="955"/>
      <c r="QWD188" s="1361"/>
      <c r="QWE188" s="1360"/>
      <c r="QWF188" s="1925"/>
      <c r="QWG188" s="955"/>
      <c r="QWH188" s="963"/>
      <c r="QWI188" s="2242"/>
      <c r="QWJ188" s="1360"/>
      <c r="QWK188" s="955"/>
      <c r="QWL188" s="1361"/>
      <c r="QWM188" s="1360"/>
      <c r="QWN188" s="1925"/>
      <c r="QWO188" s="955"/>
      <c r="QWP188" s="963"/>
      <c r="QWQ188" s="2242"/>
      <c r="QWR188" s="1360"/>
      <c r="QWS188" s="955"/>
      <c r="QWT188" s="1361"/>
      <c r="QWU188" s="1360"/>
      <c r="QWV188" s="1925"/>
      <c r="QWW188" s="955"/>
      <c r="QWX188" s="963"/>
      <c r="QWY188" s="2242"/>
      <c r="QWZ188" s="1360"/>
      <c r="QXA188" s="955"/>
      <c r="QXB188" s="1361"/>
      <c r="QXC188" s="1360"/>
      <c r="QXD188" s="1925"/>
      <c r="QXE188" s="955"/>
      <c r="QXF188" s="963"/>
      <c r="QXG188" s="2242"/>
      <c r="QXH188" s="1360"/>
      <c r="QXI188" s="955"/>
      <c r="QXJ188" s="1361"/>
      <c r="QXK188" s="1360"/>
      <c r="QXL188" s="1925"/>
      <c r="QXM188" s="955"/>
      <c r="QXN188" s="963"/>
      <c r="QXO188" s="2242"/>
      <c r="QXP188" s="1360"/>
      <c r="QXQ188" s="955"/>
      <c r="QXR188" s="1361"/>
      <c r="QXS188" s="1360"/>
      <c r="QXT188" s="1925"/>
      <c r="QXU188" s="955"/>
      <c r="QXV188" s="963"/>
      <c r="QXW188" s="2242"/>
      <c r="QXX188" s="1360"/>
      <c r="QXY188" s="955"/>
      <c r="QXZ188" s="1361"/>
      <c r="QYA188" s="1360"/>
      <c r="QYB188" s="1925"/>
      <c r="QYC188" s="955"/>
      <c r="QYD188" s="963"/>
      <c r="QYE188" s="2242"/>
      <c r="QYF188" s="1360"/>
      <c r="QYG188" s="955"/>
      <c r="QYH188" s="1361"/>
      <c r="QYI188" s="1360"/>
      <c r="QYJ188" s="1925"/>
      <c r="QYK188" s="955"/>
      <c r="QYL188" s="963"/>
      <c r="QYM188" s="2242"/>
      <c r="QYN188" s="1360"/>
      <c r="QYO188" s="955"/>
      <c r="QYP188" s="1361"/>
      <c r="QYQ188" s="1360"/>
      <c r="QYR188" s="1925"/>
      <c r="QYS188" s="955"/>
      <c r="QYT188" s="963"/>
      <c r="QYU188" s="2242"/>
      <c r="QYV188" s="1360"/>
      <c r="QYW188" s="955"/>
      <c r="QYX188" s="1361"/>
      <c r="QYY188" s="1360"/>
      <c r="QYZ188" s="1925"/>
      <c r="QZA188" s="955"/>
      <c r="QZB188" s="963"/>
      <c r="QZC188" s="2242"/>
      <c r="QZD188" s="1360"/>
      <c r="QZE188" s="955"/>
      <c r="QZF188" s="1361"/>
      <c r="QZG188" s="1360"/>
      <c r="QZH188" s="1925"/>
      <c r="QZI188" s="955"/>
      <c r="QZJ188" s="963"/>
      <c r="QZK188" s="2242"/>
      <c r="QZL188" s="1360"/>
      <c r="QZM188" s="955"/>
      <c r="QZN188" s="1361"/>
      <c r="QZO188" s="1360"/>
      <c r="QZP188" s="1925"/>
      <c r="QZQ188" s="955"/>
      <c r="QZR188" s="963"/>
      <c r="QZS188" s="2242"/>
      <c r="QZT188" s="1360"/>
      <c r="QZU188" s="955"/>
      <c r="QZV188" s="1361"/>
      <c r="QZW188" s="1360"/>
      <c r="QZX188" s="1925"/>
      <c r="QZY188" s="955"/>
      <c r="QZZ188" s="963"/>
      <c r="RAA188" s="2242"/>
      <c r="RAB188" s="1360"/>
      <c r="RAC188" s="955"/>
      <c r="RAD188" s="1361"/>
      <c r="RAE188" s="1360"/>
      <c r="RAF188" s="1925"/>
      <c r="RAG188" s="955"/>
      <c r="RAH188" s="963"/>
      <c r="RAI188" s="2242"/>
      <c r="RAJ188" s="1360"/>
      <c r="RAK188" s="955"/>
      <c r="RAL188" s="1361"/>
      <c r="RAM188" s="1360"/>
      <c r="RAN188" s="1925"/>
      <c r="RAO188" s="955"/>
      <c r="RAP188" s="963"/>
      <c r="RAQ188" s="2242"/>
      <c r="RAR188" s="1360"/>
      <c r="RAS188" s="955"/>
      <c r="RAT188" s="1361"/>
      <c r="RAU188" s="1360"/>
      <c r="RAV188" s="1925"/>
      <c r="RAW188" s="955"/>
      <c r="RAX188" s="963"/>
      <c r="RAY188" s="2242"/>
      <c r="RAZ188" s="1360"/>
      <c r="RBA188" s="955"/>
      <c r="RBB188" s="1361"/>
      <c r="RBC188" s="1360"/>
      <c r="RBD188" s="1925"/>
      <c r="RBE188" s="955"/>
      <c r="RBF188" s="963"/>
      <c r="RBG188" s="2242"/>
      <c r="RBH188" s="1360"/>
      <c r="RBI188" s="955"/>
      <c r="RBJ188" s="1361"/>
      <c r="RBK188" s="1360"/>
      <c r="RBL188" s="1925"/>
      <c r="RBM188" s="955"/>
      <c r="RBN188" s="963"/>
      <c r="RBO188" s="2242"/>
      <c r="RBP188" s="1360"/>
      <c r="RBQ188" s="955"/>
      <c r="RBR188" s="1361"/>
      <c r="RBS188" s="1360"/>
      <c r="RBT188" s="1925"/>
      <c r="RBU188" s="955"/>
      <c r="RBV188" s="963"/>
      <c r="RBW188" s="2242"/>
      <c r="RBX188" s="1360"/>
      <c r="RBY188" s="955"/>
      <c r="RBZ188" s="1361"/>
      <c r="RCA188" s="1360"/>
      <c r="RCB188" s="1925"/>
      <c r="RCC188" s="955"/>
      <c r="RCD188" s="963"/>
      <c r="RCE188" s="2242"/>
      <c r="RCF188" s="1360"/>
      <c r="RCG188" s="955"/>
      <c r="RCH188" s="1361"/>
      <c r="RCI188" s="1360"/>
      <c r="RCJ188" s="1925"/>
      <c r="RCK188" s="955"/>
      <c r="RCL188" s="963"/>
      <c r="RCM188" s="2242"/>
      <c r="RCN188" s="1360"/>
      <c r="RCO188" s="955"/>
      <c r="RCP188" s="1361"/>
      <c r="RCQ188" s="1360"/>
      <c r="RCR188" s="1925"/>
      <c r="RCS188" s="955"/>
      <c r="RCT188" s="963"/>
      <c r="RCU188" s="2242"/>
      <c r="RCV188" s="1360"/>
      <c r="RCW188" s="955"/>
      <c r="RCX188" s="1361"/>
      <c r="RCY188" s="1360"/>
      <c r="RCZ188" s="1925"/>
      <c r="RDA188" s="955"/>
      <c r="RDB188" s="963"/>
      <c r="RDC188" s="2242"/>
      <c r="RDD188" s="1360"/>
      <c r="RDE188" s="955"/>
      <c r="RDF188" s="1361"/>
      <c r="RDG188" s="1360"/>
      <c r="RDH188" s="1925"/>
      <c r="RDI188" s="955"/>
      <c r="RDJ188" s="963"/>
      <c r="RDK188" s="2242"/>
      <c r="RDL188" s="1360"/>
      <c r="RDM188" s="955"/>
      <c r="RDN188" s="1361"/>
      <c r="RDO188" s="1360"/>
      <c r="RDP188" s="1925"/>
      <c r="RDQ188" s="955"/>
      <c r="RDR188" s="963"/>
      <c r="RDS188" s="2242"/>
      <c r="RDT188" s="1360"/>
      <c r="RDU188" s="955"/>
      <c r="RDV188" s="1361"/>
      <c r="RDW188" s="1360"/>
      <c r="RDX188" s="1925"/>
      <c r="RDY188" s="955"/>
      <c r="RDZ188" s="963"/>
      <c r="REA188" s="2242"/>
      <c r="REB188" s="1360"/>
      <c r="REC188" s="955"/>
      <c r="RED188" s="1361"/>
      <c r="REE188" s="1360"/>
      <c r="REF188" s="1925"/>
      <c r="REG188" s="955"/>
      <c r="REH188" s="963"/>
      <c r="REI188" s="2242"/>
      <c r="REJ188" s="1360"/>
      <c r="REK188" s="955"/>
      <c r="REL188" s="1361"/>
      <c r="REM188" s="1360"/>
      <c r="REN188" s="1925"/>
      <c r="REO188" s="955"/>
      <c r="REP188" s="963"/>
      <c r="REQ188" s="2242"/>
      <c r="RER188" s="1360"/>
      <c r="RES188" s="955"/>
      <c r="RET188" s="1361"/>
      <c r="REU188" s="1360"/>
      <c r="REV188" s="1925"/>
      <c r="REW188" s="955"/>
      <c r="REX188" s="963"/>
      <c r="REY188" s="2242"/>
      <c r="REZ188" s="1360"/>
      <c r="RFA188" s="955"/>
      <c r="RFB188" s="1361"/>
      <c r="RFC188" s="1360"/>
      <c r="RFD188" s="1925"/>
      <c r="RFE188" s="955"/>
      <c r="RFF188" s="963"/>
      <c r="RFG188" s="2242"/>
      <c r="RFH188" s="1360"/>
      <c r="RFI188" s="955"/>
      <c r="RFJ188" s="1361"/>
      <c r="RFK188" s="1360"/>
      <c r="RFL188" s="1925"/>
      <c r="RFM188" s="955"/>
      <c r="RFN188" s="963"/>
      <c r="RFO188" s="2242"/>
      <c r="RFP188" s="1360"/>
      <c r="RFQ188" s="955"/>
      <c r="RFR188" s="1361"/>
      <c r="RFS188" s="1360"/>
      <c r="RFT188" s="1925"/>
      <c r="RFU188" s="955"/>
      <c r="RFV188" s="963"/>
      <c r="RFW188" s="2242"/>
      <c r="RFX188" s="1360"/>
      <c r="RFY188" s="955"/>
      <c r="RFZ188" s="1361"/>
      <c r="RGA188" s="1360"/>
      <c r="RGB188" s="1925"/>
      <c r="RGC188" s="955"/>
      <c r="RGD188" s="963"/>
      <c r="RGE188" s="2242"/>
      <c r="RGF188" s="1360"/>
      <c r="RGG188" s="955"/>
      <c r="RGH188" s="1361"/>
      <c r="RGI188" s="1360"/>
      <c r="RGJ188" s="1925"/>
      <c r="RGK188" s="955"/>
      <c r="RGL188" s="963"/>
      <c r="RGM188" s="2242"/>
      <c r="RGN188" s="1360"/>
      <c r="RGO188" s="955"/>
      <c r="RGP188" s="1361"/>
      <c r="RGQ188" s="1360"/>
      <c r="RGR188" s="1925"/>
      <c r="RGS188" s="955"/>
      <c r="RGT188" s="963"/>
      <c r="RGU188" s="2242"/>
      <c r="RGV188" s="1360"/>
      <c r="RGW188" s="955"/>
      <c r="RGX188" s="1361"/>
      <c r="RGY188" s="1360"/>
      <c r="RGZ188" s="1925"/>
      <c r="RHA188" s="955"/>
      <c r="RHB188" s="963"/>
      <c r="RHC188" s="2242"/>
      <c r="RHD188" s="1360"/>
      <c r="RHE188" s="955"/>
      <c r="RHF188" s="1361"/>
      <c r="RHG188" s="1360"/>
      <c r="RHH188" s="1925"/>
      <c r="RHI188" s="955"/>
      <c r="RHJ188" s="963"/>
      <c r="RHK188" s="2242"/>
      <c r="RHL188" s="1360"/>
      <c r="RHM188" s="955"/>
      <c r="RHN188" s="1361"/>
      <c r="RHO188" s="1360"/>
      <c r="RHP188" s="1925"/>
      <c r="RHQ188" s="955"/>
      <c r="RHR188" s="963"/>
      <c r="RHS188" s="2242"/>
      <c r="RHT188" s="1360"/>
      <c r="RHU188" s="955"/>
      <c r="RHV188" s="1361"/>
      <c r="RHW188" s="1360"/>
      <c r="RHX188" s="1925"/>
      <c r="RHY188" s="955"/>
      <c r="RHZ188" s="963"/>
      <c r="RIA188" s="2242"/>
      <c r="RIB188" s="1360"/>
      <c r="RIC188" s="955"/>
      <c r="RID188" s="1361"/>
      <c r="RIE188" s="1360"/>
      <c r="RIF188" s="1925"/>
      <c r="RIG188" s="955"/>
      <c r="RIH188" s="963"/>
      <c r="RII188" s="2242"/>
      <c r="RIJ188" s="1360"/>
      <c r="RIK188" s="955"/>
      <c r="RIL188" s="1361"/>
      <c r="RIM188" s="1360"/>
      <c r="RIN188" s="1925"/>
      <c r="RIO188" s="955"/>
      <c r="RIP188" s="963"/>
      <c r="RIQ188" s="2242"/>
      <c r="RIR188" s="1360"/>
      <c r="RIS188" s="955"/>
      <c r="RIT188" s="1361"/>
      <c r="RIU188" s="1360"/>
      <c r="RIV188" s="1925"/>
      <c r="RIW188" s="955"/>
      <c r="RIX188" s="963"/>
      <c r="RIY188" s="2242"/>
      <c r="RIZ188" s="1360"/>
      <c r="RJA188" s="955"/>
      <c r="RJB188" s="1361"/>
      <c r="RJC188" s="1360"/>
      <c r="RJD188" s="1925"/>
      <c r="RJE188" s="955"/>
      <c r="RJF188" s="963"/>
      <c r="RJG188" s="2242"/>
      <c r="RJH188" s="1360"/>
      <c r="RJI188" s="955"/>
      <c r="RJJ188" s="1361"/>
      <c r="RJK188" s="1360"/>
      <c r="RJL188" s="1925"/>
      <c r="RJM188" s="955"/>
      <c r="RJN188" s="963"/>
      <c r="RJO188" s="2242"/>
      <c r="RJP188" s="1360"/>
      <c r="RJQ188" s="955"/>
      <c r="RJR188" s="1361"/>
      <c r="RJS188" s="1360"/>
      <c r="RJT188" s="1925"/>
      <c r="RJU188" s="955"/>
      <c r="RJV188" s="963"/>
      <c r="RJW188" s="2242"/>
      <c r="RJX188" s="1360"/>
      <c r="RJY188" s="955"/>
      <c r="RJZ188" s="1361"/>
      <c r="RKA188" s="1360"/>
      <c r="RKB188" s="1925"/>
      <c r="RKC188" s="955"/>
      <c r="RKD188" s="963"/>
      <c r="RKE188" s="2242"/>
      <c r="RKF188" s="1360"/>
      <c r="RKG188" s="955"/>
      <c r="RKH188" s="1361"/>
      <c r="RKI188" s="1360"/>
      <c r="RKJ188" s="1925"/>
      <c r="RKK188" s="955"/>
      <c r="RKL188" s="963"/>
      <c r="RKM188" s="2242"/>
      <c r="RKN188" s="1360"/>
      <c r="RKO188" s="955"/>
      <c r="RKP188" s="1361"/>
      <c r="RKQ188" s="1360"/>
      <c r="RKR188" s="1925"/>
      <c r="RKS188" s="955"/>
      <c r="RKT188" s="963"/>
      <c r="RKU188" s="2242"/>
      <c r="RKV188" s="1360"/>
      <c r="RKW188" s="955"/>
      <c r="RKX188" s="1361"/>
      <c r="RKY188" s="1360"/>
      <c r="RKZ188" s="1925"/>
      <c r="RLA188" s="955"/>
      <c r="RLB188" s="963"/>
      <c r="RLC188" s="2242"/>
      <c r="RLD188" s="1360"/>
      <c r="RLE188" s="955"/>
      <c r="RLF188" s="1361"/>
      <c r="RLG188" s="1360"/>
      <c r="RLH188" s="1925"/>
      <c r="RLI188" s="955"/>
      <c r="RLJ188" s="963"/>
      <c r="RLK188" s="2242"/>
      <c r="RLL188" s="1360"/>
      <c r="RLM188" s="955"/>
      <c r="RLN188" s="1361"/>
      <c r="RLO188" s="1360"/>
      <c r="RLP188" s="1925"/>
      <c r="RLQ188" s="955"/>
      <c r="RLR188" s="963"/>
      <c r="RLS188" s="2242"/>
      <c r="RLT188" s="1360"/>
      <c r="RLU188" s="955"/>
      <c r="RLV188" s="1361"/>
      <c r="RLW188" s="1360"/>
      <c r="RLX188" s="1925"/>
      <c r="RLY188" s="955"/>
      <c r="RLZ188" s="963"/>
      <c r="RMA188" s="2242"/>
      <c r="RMB188" s="1360"/>
      <c r="RMC188" s="955"/>
      <c r="RMD188" s="1361"/>
      <c r="RME188" s="1360"/>
      <c r="RMF188" s="1925"/>
      <c r="RMG188" s="955"/>
      <c r="RMH188" s="963"/>
      <c r="RMI188" s="2242"/>
      <c r="RMJ188" s="1360"/>
      <c r="RMK188" s="955"/>
      <c r="RML188" s="1361"/>
      <c r="RMM188" s="1360"/>
      <c r="RMN188" s="1925"/>
      <c r="RMO188" s="955"/>
      <c r="RMP188" s="963"/>
      <c r="RMQ188" s="2242"/>
      <c r="RMR188" s="1360"/>
      <c r="RMS188" s="955"/>
      <c r="RMT188" s="1361"/>
      <c r="RMU188" s="1360"/>
      <c r="RMV188" s="1925"/>
      <c r="RMW188" s="955"/>
      <c r="RMX188" s="963"/>
      <c r="RMY188" s="2242"/>
      <c r="RMZ188" s="1360"/>
      <c r="RNA188" s="955"/>
      <c r="RNB188" s="1361"/>
      <c r="RNC188" s="1360"/>
      <c r="RND188" s="1925"/>
      <c r="RNE188" s="955"/>
      <c r="RNF188" s="963"/>
      <c r="RNG188" s="2242"/>
      <c r="RNH188" s="1360"/>
      <c r="RNI188" s="955"/>
      <c r="RNJ188" s="1361"/>
      <c r="RNK188" s="1360"/>
      <c r="RNL188" s="1925"/>
      <c r="RNM188" s="955"/>
      <c r="RNN188" s="963"/>
      <c r="RNO188" s="2242"/>
      <c r="RNP188" s="1360"/>
      <c r="RNQ188" s="955"/>
      <c r="RNR188" s="1361"/>
      <c r="RNS188" s="1360"/>
      <c r="RNT188" s="1925"/>
      <c r="RNU188" s="955"/>
      <c r="RNV188" s="963"/>
      <c r="RNW188" s="2242"/>
      <c r="RNX188" s="1360"/>
      <c r="RNY188" s="955"/>
      <c r="RNZ188" s="1361"/>
      <c r="ROA188" s="1360"/>
      <c r="ROB188" s="1925"/>
      <c r="ROC188" s="955"/>
      <c r="ROD188" s="963"/>
      <c r="ROE188" s="2242"/>
      <c r="ROF188" s="1360"/>
      <c r="ROG188" s="955"/>
      <c r="ROH188" s="1361"/>
      <c r="ROI188" s="1360"/>
      <c r="ROJ188" s="1925"/>
      <c r="ROK188" s="955"/>
      <c r="ROL188" s="963"/>
      <c r="ROM188" s="2242"/>
      <c r="RON188" s="1360"/>
      <c r="ROO188" s="955"/>
      <c r="ROP188" s="1361"/>
      <c r="ROQ188" s="1360"/>
      <c r="ROR188" s="1925"/>
      <c r="ROS188" s="955"/>
      <c r="ROT188" s="963"/>
      <c r="ROU188" s="2242"/>
      <c r="ROV188" s="1360"/>
      <c r="ROW188" s="955"/>
      <c r="ROX188" s="1361"/>
      <c r="ROY188" s="1360"/>
      <c r="ROZ188" s="1925"/>
      <c r="RPA188" s="955"/>
      <c r="RPB188" s="963"/>
      <c r="RPC188" s="2242"/>
      <c r="RPD188" s="1360"/>
      <c r="RPE188" s="955"/>
      <c r="RPF188" s="1361"/>
      <c r="RPG188" s="1360"/>
      <c r="RPH188" s="1925"/>
      <c r="RPI188" s="955"/>
      <c r="RPJ188" s="963"/>
      <c r="RPK188" s="2242"/>
      <c r="RPL188" s="1360"/>
      <c r="RPM188" s="955"/>
      <c r="RPN188" s="1361"/>
      <c r="RPO188" s="1360"/>
      <c r="RPP188" s="1925"/>
      <c r="RPQ188" s="955"/>
      <c r="RPR188" s="963"/>
      <c r="RPS188" s="2242"/>
      <c r="RPT188" s="1360"/>
      <c r="RPU188" s="955"/>
      <c r="RPV188" s="1361"/>
      <c r="RPW188" s="1360"/>
      <c r="RPX188" s="1925"/>
      <c r="RPY188" s="955"/>
      <c r="RPZ188" s="963"/>
      <c r="RQA188" s="2242"/>
      <c r="RQB188" s="1360"/>
      <c r="RQC188" s="955"/>
      <c r="RQD188" s="1361"/>
      <c r="RQE188" s="1360"/>
      <c r="RQF188" s="1925"/>
      <c r="RQG188" s="955"/>
      <c r="RQH188" s="963"/>
      <c r="RQI188" s="2242"/>
      <c r="RQJ188" s="1360"/>
      <c r="RQK188" s="955"/>
      <c r="RQL188" s="1361"/>
      <c r="RQM188" s="1360"/>
      <c r="RQN188" s="1925"/>
      <c r="RQO188" s="955"/>
      <c r="RQP188" s="963"/>
      <c r="RQQ188" s="2242"/>
      <c r="RQR188" s="1360"/>
      <c r="RQS188" s="955"/>
      <c r="RQT188" s="1361"/>
      <c r="RQU188" s="1360"/>
      <c r="RQV188" s="1925"/>
      <c r="RQW188" s="955"/>
      <c r="RQX188" s="963"/>
      <c r="RQY188" s="2242"/>
      <c r="RQZ188" s="1360"/>
      <c r="RRA188" s="955"/>
      <c r="RRB188" s="1361"/>
      <c r="RRC188" s="1360"/>
      <c r="RRD188" s="1925"/>
      <c r="RRE188" s="955"/>
      <c r="RRF188" s="963"/>
      <c r="RRG188" s="2242"/>
      <c r="RRH188" s="1360"/>
      <c r="RRI188" s="955"/>
      <c r="RRJ188" s="1361"/>
      <c r="RRK188" s="1360"/>
      <c r="RRL188" s="1925"/>
      <c r="RRM188" s="955"/>
      <c r="RRN188" s="963"/>
      <c r="RRO188" s="2242"/>
      <c r="RRP188" s="1360"/>
      <c r="RRQ188" s="955"/>
      <c r="RRR188" s="1361"/>
      <c r="RRS188" s="1360"/>
      <c r="RRT188" s="1925"/>
      <c r="RRU188" s="955"/>
      <c r="RRV188" s="963"/>
      <c r="RRW188" s="2242"/>
      <c r="RRX188" s="1360"/>
      <c r="RRY188" s="955"/>
      <c r="RRZ188" s="1361"/>
      <c r="RSA188" s="1360"/>
      <c r="RSB188" s="1925"/>
      <c r="RSC188" s="955"/>
      <c r="RSD188" s="963"/>
      <c r="RSE188" s="2242"/>
      <c r="RSF188" s="1360"/>
      <c r="RSG188" s="955"/>
      <c r="RSH188" s="1361"/>
      <c r="RSI188" s="1360"/>
      <c r="RSJ188" s="1925"/>
      <c r="RSK188" s="955"/>
      <c r="RSL188" s="963"/>
      <c r="RSM188" s="2242"/>
      <c r="RSN188" s="1360"/>
      <c r="RSO188" s="955"/>
      <c r="RSP188" s="1361"/>
      <c r="RSQ188" s="1360"/>
      <c r="RSR188" s="1925"/>
      <c r="RSS188" s="955"/>
      <c r="RST188" s="963"/>
      <c r="RSU188" s="2242"/>
      <c r="RSV188" s="1360"/>
      <c r="RSW188" s="955"/>
      <c r="RSX188" s="1361"/>
      <c r="RSY188" s="1360"/>
      <c r="RSZ188" s="1925"/>
      <c r="RTA188" s="955"/>
      <c r="RTB188" s="963"/>
      <c r="RTC188" s="2242"/>
      <c r="RTD188" s="1360"/>
      <c r="RTE188" s="955"/>
      <c r="RTF188" s="1361"/>
      <c r="RTG188" s="1360"/>
      <c r="RTH188" s="1925"/>
      <c r="RTI188" s="955"/>
      <c r="RTJ188" s="963"/>
      <c r="RTK188" s="2242"/>
      <c r="RTL188" s="1360"/>
      <c r="RTM188" s="955"/>
      <c r="RTN188" s="1361"/>
      <c r="RTO188" s="1360"/>
      <c r="RTP188" s="1925"/>
      <c r="RTQ188" s="955"/>
      <c r="RTR188" s="963"/>
      <c r="RTS188" s="2242"/>
      <c r="RTT188" s="1360"/>
      <c r="RTU188" s="955"/>
      <c r="RTV188" s="1361"/>
      <c r="RTW188" s="1360"/>
      <c r="RTX188" s="1925"/>
      <c r="RTY188" s="955"/>
      <c r="RTZ188" s="963"/>
      <c r="RUA188" s="2242"/>
      <c r="RUB188" s="1360"/>
      <c r="RUC188" s="955"/>
      <c r="RUD188" s="1361"/>
      <c r="RUE188" s="1360"/>
      <c r="RUF188" s="1925"/>
      <c r="RUG188" s="955"/>
      <c r="RUH188" s="963"/>
      <c r="RUI188" s="2242"/>
      <c r="RUJ188" s="1360"/>
      <c r="RUK188" s="955"/>
      <c r="RUL188" s="1361"/>
      <c r="RUM188" s="1360"/>
      <c r="RUN188" s="1925"/>
      <c r="RUO188" s="955"/>
      <c r="RUP188" s="963"/>
      <c r="RUQ188" s="2242"/>
      <c r="RUR188" s="1360"/>
      <c r="RUS188" s="955"/>
      <c r="RUT188" s="1361"/>
      <c r="RUU188" s="1360"/>
      <c r="RUV188" s="1925"/>
      <c r="RUW188" s="955"/>
      <c r="RUX188" s="963"/>
      <c r="RUY188" s="2242"/>
      <c r="RUZ188" s="1360"/>
      <c r="RVA188" s="955"/>
      <c r="RVB188" s="1361"/>
      <c r="RVC188" s="1360"/>
      <c r="RVD188" s="1925"/>
      <c r="RVE188" s="955"/>
      <c r="RVF188" s="963"/>
      <c r="RVG188" s="2242"/>
      <c r="RVH188" s="1360"/>
      <c r="RVI188" s="955"/>
      <c r="RVJ188" s="1361"/>
      <c r="RVK188" s="1360"/>
      <c r="RVL188" s="1925"/>
      <c r="RVM188" s="955"/>
      <c r="RVN188" s="963"/>
      <c r="RVO188" s="2242"/>
      <c r="RVP188" s="1360"/>
      <c r="RVQ188" s="955"/>
      <c r="RVR188" s="1361"/>
      <c r="RVS188" s="1360"/>
      <c r="RVT188" s="1925"/>
      <c r="RVU188" s="955"/>
      <c r="RVV188" s="963"/>
      <c r="RVW188" s="2242"/>
      <c r="RVX188" s="1360"/>
      <c r="RVY188" s="955"/>
      <c r="RVZ188" s="1361"/>
      <c r="RWA188" s="1360"/>
      <c r="RWB188" s="1925"/>
      <c r="RWC188" s="955"/>
      <c r="RWD188" s="963"/>
      <c r="RWE188" s="2242"/>
      <c r="RWF188" s="1360"/>
      <c r="RWG188" s="955"/>
      <c r="RWH188" s="1361"/>
      <c r="RWI188" s="1360"/>
      <c r="RWJ188" s="1925"/>
      <c r="RWK188" s="955"/>
      <c r="RWL188" s="963"/>
      <c r="RWM188" s="2242"/>
      <c r="RWN188" s="1360"/>
      <c r="RWO188" s="955"/>
      <c r="RWP188" s="1361"/>
      <c r="RWQ188" s="1360"/>
      <c r="RWR188" s="1925"/>
      <c r="RWS188" s="955"/>
      <c r="RWT188" s="963"/>
      <c r="RWU188" s="2242"/>
      <c r="RWV188" s="1360"/>
      <c r="RWW188" s="955"/>
      <c r="RWX188" s="1361"/>
      <c r="RWY188" s="1360"/>
      <c r="RWZ188" s="1925"/>
      <c r="RXA188" s="955"/>
      <c r="RXB188" s="963"/>
      <c r="RXC188" s="2242"/>
      <c r="RXD188" s="1360"/>
      <c r="RXE188" s="955"/>
      <c r="RXF188" s="1361"/>
      <c r="RXG188" s="1360"/>
      <c r="RXH188" s="1925"/>
      <c r="RXI188" s="955"/>
      <c r="RXJ188" s="963"/>
      <c r="RXK188" s="2242"/>
      <c r="RXL188" s="1360"/>
      <c r="RXM188" s="955"/>
      <c r="RXN188" s="1361"/>
      <c r="RXO188" s="1360"/>
      <c r="RXP188" s="1925"/>
      <c r="RXQ188" s="955"/>
      <c r="RXR188" s="963"/>
      <c r="RXS188" s="2242"/>
      <c r="RXT188" s="1360"/>
      <c r="RXU188" s="955"/>
      <c r="RXV188" s="1361"/>
      <c r="RXW188" s="1360"/>
      <c r="RXX188" s="1925"/>
      <c r="RXY188" s="955"/>
      <c r="RXZ188" s="963"/>
      <c r="RYA188" s="2242"/>
      <c r="RYB188" s="1360"/>
      <c r="RYC188" s="955"/>
      <c r="RYD188" s="1361"/>
      <c r="RYE188" s="1360"/>
      <c r="RYF188" s="1925"/>
      <c r="RYG188" s="955"/>
      <c r="RYH188" s="963"/>
      <c r="RYI188" s="2242"/>
      <c r="RYJ188" s="1360"/>
      <c r="RYK188" s="955"/>
      <c r="RYL188" s="1361"/>
      <c r="RYM188" s="1360"/>
      <c r="RYN188" s="1925"/>
      <c r="RYO188" s="955"/>
      <c r="RYP188" s="963"/>
      <c r="RYQ188" s="2242"/>
      <c r="RYR188" s="1360"/>
      <c r="RYS188" s="955"/>
      <c r="RYT188" s="1361"/>
      <c r="RYU188" s="1360"/>
      <c r="RYV188" s="1925"/>
      <c r="RYW188" s="955"/>
      <c r="RYX188" s="963"/>
      <c r="RYY188" s="2242"/>
      <c r="RYZ188" s="1360"/>
      <c r="RZA188" s="955"/>
      <c r="RZB188" s="1361"/>
      <c r="RZC188" s="1360"/>
      <c r="RZD188" s="1925"/>
      <c r="RZE188" s="955"/>
      <c r="RZF188" s="963"/>
      <c r="RZG188" s="2242"/>
      <c r="RZH188" s="1360"/>
      <c r="RZI188" s="955"/>
      <c r="RZJ188" s="1361"/>
      <c r="RZK188" s="1360"/>
      <c r="RZL188" s="1925"/>
      <c r="RZM188" s="955"/>
      <c r="RZN188" s="963"/>
      <c r="RZO188" s="2242"/>
      <c r="RZP188" s="1360"/>
      <c r="RZQ188" s="955"/>
      <c r="RZR188" s="1361"/>
      <c r="RZS188" s="1360"/>
      <c r="RZT188" s="1925"/>
      <c r="RZU188" s="955"/>
      <c r="RZV188" s="963"/>
      <c r="RZW188" s="2242"/>
      <c r="RZX188" s="1360"/>
      <c r="RZY188" s="955"/>
      <c r="RZZ188" s="1361"/>
      <c r="SAA188" s="1360"/>
      <c r="SAB188" s="1925"/>
      <c r="SAC188" s="955"/>
      <c r="SAD188" s="963"/>
      <c r="SAE188" s="2242"/>
      <c r="SAF188" s="1360"/>
      <c r="SAG188" s="955"/>
      <c r="SAH188" s="1361"/>
      <c r="SAI188" s="1360"/>
      <c r="SAJ188" s="1925"/>
      <c r="SAK188" s="955"/>
      <c r="SAL188" s="963"/>
      <c r="SAM188" s="2242"/>
      <c r="SAN188" s="1360"/>
      <c r="SAO188" s="955"/>
      <c r="SAP188" s="1361"/>
      <c r="SAQ188" s="1360"/>
      <c r="SAR188" s="1925"/>
      <c r="SAS188" s="955"/>
      <c r="SAT188" s="963"/>
      <c r="SAU188" s="2242"/>
      <c r="SAV188" s="1360"/>
      <c r="SAW188" s="955"/>
      <c r="SAX188" s="1361"/>
      <c r="SAY188" s="1360"/>
      <c r="SAZ188" s="1925"/>
      <c r="SBA188" s="955"/>
      <c r="SBB188" s="963"/>
      <c r="SBC188" s="2242"/>
      <c r="SBD188" s="1360"/>
      <c r="SBE188" s="955"/>
      <c r="SBF188" s="1361"/>
      <c r="SBG188" s="1360"/>
      <c r="SBH188" s="1925"/>
      <c r="SBI188" s="955"/>
      <c r="SBJ188" s="963"/>
      <c r="SBK188" s="2242"/>
      <c r="SBL188" s="1360"/>
      <c r="SBM188" s="955"/>
      <c r="SBN188" s="1361"/>
      <c r="SBO188" s="1360"/>
      <c r="SBP188" s="1925"/>
      <c r="SBQ188" s="955"/>
      <c r="SBR188" s="963"/>
      <c r="SBS188" s="2242"/>
      <c r="SBT188" s="1360"/>
      <c r="SBU188" s="955"/>
      <c r="SBV188" s="1361"/>
      <c r="SBW188" s="1360"/>
      <c r="SBX188" s="1925"/>
      <c r="SBY188" s="955"/>
      <c r="SBZ188" s="963"/>
      <c r="SCA188" s="2242"/>
      <c r="SCB188" s="1360"/>
      <c r="SCC188" s="955"/>
      <c r="SCD188" s="1361"/>
      <c r="SCE188" s="1360"/>
      <c r="SCF188" s="1925"/>
      <c r="SCG188" s="955"/>
      <c r="SCH188" s="963"/>
      <c r="SCI188" s="2242"/>
      <c r="SCJ188" s="1360"/>
      <c r="SCK188" s="955"/>
      <c r="SCL188" s="1361"/>
      <c r="SCM188" s="1360"/>
      <c r="SCN188" s="1925"/>
      <c r="SCO188" s="955"/>
      <c r="SCP188" s="963"/>
      <c r="SCQ188" s="2242"/>
      <c r="SCR188" s="1360"/>
      <c r="SCS188" s="955"/>
      <c r="SCT188" s="1361"/>
      <c r="SCU188" s="1360"/>
      <c r="SCV188" s="1925"/>
      <c r="SCW188" s="955"/>
      <c r="SCX188" s="963"/>
      <c r="SCY188" s="2242"/>
      <c r="SCZ188" s="1360"/>
      <c r="SDA188" s="955"/>
      <c r="SDB188" s="1361"/>
      <c r="SDC188" s="1360"/>
      <c r="SDD188" s="1925"/>
      <c r="SDE188" s="955"/>
      <c r="SDF188" s="963"/>
      <c r="SDG188" s="2242"/>
      <c r="SDH188" s="1360"/>
      <c r="SDI188" s="955"/>
      <c r="SDJ188" s="1361"/>
      <c r="SDK188" s="1360"/>
      <c r="SDL188" s="1925"/>
      <c r="SDM188" s="955"/>
      <c r="SDN188" s="963"/>
      <c r="SDO188" s="2242"/>
      <c r="SDP188" s="1360"/>
      <c r="SDQ188" s="955"/>
      <c r="SDR188" s="1361"/>
      <c r="SDS188" s="1360"/>
      <c r="SDT188" s="1925"/>
      <c r="SDU188" s="955"/>
      <c r="SDV188" s="963"/>
      <c r="SDW188" s="2242"/>
      <c r="SDX188" s="1360"/>
      <c r="SDY188" s="955"/>
      <c r="SDZ188" s="1361"/>
      <c r="SEA188" s="1360"/>
      <c r="SEB188" s="1925"/>
      <c r="SEC188" s="955"/>
      <c r="SED188" s="963"/>
      <c r="SEE188" s="2242"/>
      <c r="SEF188" s="1360"/>
      <c r="SEG188" s="955"/>
      <c r="SEH188" s="1361"/>
      <c r="SEI188" s="1360"/>
      <c r="SEJ188" s="1925"/>
      <c r="SEK188" s="955"/>
      <c r="SEL188" s="963"/>
      <c r="SEM188" s="2242"/>
      <c r="SEN188" s="1360"/>
      <c r="SEO188" s="955"/>
      <c r="SEP188" s="1361"/>
      <c r="SEQ188" s="1360"/>
      <c r="SER188" s="1925"/>
      <c r="SES188" s="955"/>
      <c r="SET188" s="963"/>
      <c r="SEU188" s="2242"/>
      <c r="SEV188" s="1360"/>
      <c r="SEW188" s="955"/>
      <c r="SEX188" s="1361"/>
      <c r="SEY188" s="1360"/>
      <c r="SEZ188" s="1925"/>
      <c r="SFA188" s="955"/>
      <c r="SFB188" s="963"/>
      <c r="SFC188" s="2242"/>
      <c r="SFD188" s="1360"/>
      <c r="SFE188" s="955"/>
      <c r="SFF188" s="1361"/>
      <c r="SFG188" s="1360"/>
      <c r="SFH188" s="1925"/>
      <c r="SFI188" s="955"/>
      <c r="SFJ188" s="963"/>
      <c r="SFK188" s="2242"/>
      <c r="SFL188" s="1360"/>
      <c r="SFM188" s="955"/>
      <c r="SFN188" s="1361"/>
      <c r="SFO188" s="1360"/>
      <c r="SFP188" s="1925"/>
      <c r="SFQ188" s="955"/>
      <c r="SFR188" s="963"/>
      <c r="SFS188" s="2242"/>
      <c r="SFT188" s="1360"/>
      <c r="SFU188" s="955"/>
      <c r="SFV188" s="1361"/>
      <c r="SFW188" s="1360"/>
      <c r="SFX188" s="1925"/>
      <c r="SFY188" s="955"/>
      <c r="SFZ188" s="963"/>
      <c r="SGA188" s="2242"/>
      <c r="SGB188" s="1360"/>
      <c r="SGC188" s="955"/>
      <c r="SGD188" s="1361"/>
      <c r="SGE188" s="1360"/>
      <c r="SGF188" s="1925"/>
      <c r="SGG188" s="955"/>
      <c r="SGH188" s="963"/>
      <c r="SGI188" s="2242"/>
      <c r="SGJ188" s="1360"/>
      <c r="SGK188" s="955"/>
      <c r="SGL188" s="1361"/>
      <c r="SGM188" s="1360"/>
      <c r="SGN188" s="1925"/>
      <c r="SGO188" s="955"/>
      <c r="SGP188" s="963"/>
      <c r="SGQ188" s="2242"/>
      <c r="SGR188" s="1360"/>
      <c r="SGS188" s="955"/>
      <c r="SGT188" s="1361"/>
      <c r="SGU188" s="1360"/>
      <c r="SGV188" s="1925"/>
      <c r="SGW188" s="955"/>
      <c r="SGX188" s="963"/>
      <c r="SGY188" s="2242"/>
      <c r="SGZ188" s="1360"/>
      <c r="SHA188" s="955"/>
      <c r="SHB188" s="1361"/>
      <c r="SHC188" s="1360"/>
      <c r="SHD188" s="1925"/>
      <c r="SHE188" s="955"/>
      <c r="SHF188" s="963"/>
      <c r="SHG188" s="2242"/>
      <c r="SHH188" s="1360"/>
      <c r="SHI188" s="955"/>
      <c r="SHJ188" s="1361"/>
      <c r="SHK188" s="1360"/>
      <c r="SHL188" s="1925"/>
      <c r="SHM188" s="955"/>
      <c r="SHN188" s="963"/>
      <c r="SHO188" s="2242"/>
      <c r="SHP188" s="1360"/>
      <c r="SHQ188" s="955"/>
      <c r="SHR188" s="1361"/>
      <c r="SHS188" s="1360"/>
      <c r="SHT188" s="1925"/>
      <c r="SHU188" s="955"/>
      <c r="SHV188" s="963"/>
      <c r="SHW188" s="2242"/>
      <c r="SHX188" s="1360"/>
      <c r="SHY188" s="955"/>
      <c r="SHZ188" s="1361"/>
      <c r="SIA188" s="1360"/>
      <c r="SIB188" s="1925"/>
      <c r="SIC188" s="955"/>
      <c r="SID188" s="963"/>
      <c r="SIE188" s="2242"/>
      <c r="SIF188" s="1360"/>
      <c r="SIG188" s="955"/>
      <c r="SIH188" s="1361"/>
      <c r="SII188" s="1360"/>
      <c r="SIJ188" s="1925"/>
      <c r="SIK188" s="955"/>
      <c r="SIL188" s="963"/>
      <c r="SIM188" s="2242"/>
      <c r="SIN188" s="1360"/>
      <c r="SIO188" s="955"/>
      <c r="SIP188" s="1361"/>
      <c r="SIQ188" s="1360"/>
      <c r="SIR188" s="1925"/>
      <c r="SIS188" s="955"/>
      <c r="SIT188" s="963"/>
      <c r="SIU188" s="2242"/>
      <c r="SIV188" s="1360"/>
      <c r="SIW188" s="955"/>
      <c r="SIX188" s="1361"/>
      <c r="SIY188" s="1360"/>
      <c r="SIZ188" s="1925"/>
      <c r="SJA188" s="955"/>
      <c r="SJB188" s="963"/>
      <c r="SJC188" s="2242"/>
      <c r="SJD188" s="1360"/>
      <c r="SJE188" s="955"/>
      <c r="SJF188" s="1361"/>
      <c r="SJG188" s="1360"/>
      <c r="SJH188" s="1925"/>
      <c r="SJI188" s="955"/>
      <c r="SJJ188" s="963"/>
      <c r="SJK188" s="2242"/>
      <c r="SJL188" s="1360"/>
      <c r="SJM188" s="955"/>
      <c r="SJN188" s="1361"/>
      <c r="SJO188" s="1360"/>
      <c r="SJP188" s="1925"/>
      <c r="SJQ188" s="955"/>
      <c r="SJR188" s="963"/>
      <c r="SJS188" s="2242"/>
      <c r="SJT188" s="1360"/>
      <c r="SJU188" s="955"/>
      <c r="SJV188" s="1361"/>
      <c r="SJW188" s="1360"/>
      <c r="SJX188" s="1925"/>
      <c r="SJY188" s="955"/>
      <c r="SJZ188" s="963"/>
      <c r="SKA188" s="2242"/>
      <c r="SKB188" s="1360"/>
      <c r="SKC188" s="955"/>
      <c r="SKD188" s="1361"/>
      <c r="SKE188" s="1360"/>
      <c r="SKF188" s="1925"/>
      <c r="SKG188" s="955"/>
      <c r="SKH188" s="963"/>
      <c r="SKI188" s="2242"/>
      <c r="SKJ188" s="1360"/>
      <c r="SKK188" s="955"/>
      <c r="SKL188" s="1361"/>
      <c r="SKM188" s="1360"/>
      <c r="SKN188" s="1925"/>
      <c r="SKO188" s="955"/>
      <c r="SKP188" s="963"/>
      <c r="SKQ188" s="2242"/>
      <c r="SKR188" s="1360"/>
      <c r="SKS188" s="955"/>
      <c r="SKT188" s="1361"/>
      <c r="SKU188" s="1360"/>
      <c r="SKV188" s="1925"/>
      <c r="SKW188" s="955"/>
      <c r="SKX188" s="963"/>
      <c r="SKY188" s="2242"/>
      <c r="SKZ188" s="1360"/>
      <c r="SLA188" s="955"/>
      <c r="SLB188" s="1361"/>
      <c r="SLC188" s="1360"/>
      <c r="SLD188" s="1925"/>
      <c r="SLE188" s="955"/>
      <c r="SLF188" s="963"/>
      <c r="SLG188" s="2242"/>
      <c r="SLH188" s="1360"/>
      <c r="SLI188" s="955"/>
      <c r="SLJ188" s="1361"/>
      <c r="SLK188" s="1360"/>
      <c r="SLL188" s="1925"/>
      <c r="SLM188" s="955"/>
      <c r="SLN188" s="963"/>
      <c r="SLO188" s="2242"/>
      <c r="SLP188" s="1360"/>
      <c r="SLQ188" s="955"/>
      <c r="SLR188" s="1361"/>
      <c r="SLS188" s="1360"/>
      <c r="SLT188" s="1925"/>
      <c r="SLU188" s="955"/>
      <c r="SLV188" s="963"/>
      <c r="SLW188" s="2242"/>
      <c r="SLX188" s="1360"/>
      <c r="SLY188" s="955"/>
      <c r="SLZ188" s="1361"/>
      <c r="SMA188" s="1360"/>
      <c r="SMB188" s="1925"/>
      <c r="SMC188" s="955"/>
      <c r="SMD188" s="963"/>
      <c r="SME188" s="2242"/>
      <c r="SMF188" s="1360"/>
      <c r="SMG188" s="955"/>
      <c r="SMH188" s="1361"/>
      <c r="SMI188" s="1360"/>
      <c r="SMJ188" s="1925"/>
      <c r="SMK188" s="955"/>
      <c r="SML188" s="963"/>
      <c r="SMM188" s="2242"/>
      <c r="SMN188" s="1360"/>
      <c r="SMO188" s="955"/>
      <c r="SMP188" s="1361"/>
      <c r="SMQ188" s="1360"/>
      <c r="SMR188" s="1925"/>
      <c r="SMS188" s="955"/>
      <c r="SMT188" s="963"/>
      <c r="SMU188" s="2242"/>
      <c r="SMV188" s="1360"/>
      <c r="SMW188" s="955"/>
      <c r="SMX188" s="1361"/>
      <c r="SMY188" s="1360"/>
      <c r="SMZ188" s="1925"/>
      <c r="SNA188" s="955"/>
      <c r="SNB188" s="963"/>
      <c r="SNC188" s="2242"/>
      <c r="SND188" s="1360"/>
      <c r="SNE188" s="955"/>
      <c r="SNF188" s="1361"/>
      <c r="SNG188" s="1360"/>
      <c r="SNH188" s="1925"/>
      <c r="SNI188" s="955"/>
      <c r="SNJ188" s="963"/>
      <c r="SNK188" s="2242"/>
      <c r="SNL188" s="1360"/>
      <c r="SNM188" s="955"/>
      <c r="SNN188" s="1361"/>
      <c r="SNO188" s="1360"/>
      <c r="SNP188" s="1925"/>
      <c r="SNQ188" s="955"/>
      <c r="SNR188" s="963"/>
      <c r="SNS188" s="2242"/>
      <c r="SNT188" s="1360"/>
      <c r="SNU188" s="955"/>
      <c r="SNV188" s="1361"/>
      <c r="SNW188" s="1360"/>
      <c r="SNX188" s="1925"/>
      <c r="SNY188" s="955"/>
      <c r="SNZ188" s="963"/>
      <c r="SOA188" s="2242"/>
      <c r="SOB188" s="1360"/>
      <c r="SOC188" s="955"/>
      <c r="SOD188" s="1361"/>
      <c r="SOE188" s="1360"/>
      <c r="SOF188" s="1925"/>
      <c r="SOG188" s="955"/>
      <c r="SOH188" s="963"/>
      <c r="SOI188" s="2242"/>
      <c r="SOJ188" s="1360"/>
      <c r="SOK188" s="955"/>
      <c r="SOL188" s="1361"/>
      <c r="SOM188" s="1360"/>
      <c r="SON188" s="1925"/>
      <c r="SOO188" s="955"/>
      <c r="SOP188" s="963"/>
      <c r="SOQ188" s="2242"/>
      <c r="SOR188" s="1360"/>
      <c r="SOS188" s="955"/>
      <c r="SOT188" s="1361"/>
      <c r="SOU188" s="1360"/>
      <c r="SOV188" s="1925"/>
      <c r="SOW188" s="955"/>
      <c r="SOX188" s="963"/>
      <c r="SOY188" s="2242"/>
      <c r="SOZ188" s="1360"/>
      <c r="SPA188" s="955"/>
      <c r="SPB188" s="1361"/>
      <c r="SPC188" s="1360"/>
      <c r="SPD188" s="1925"/>
      <c r="SPE188" s="955"/>
      <c r="SPF188" s="963"/>
      <c r="SPG188" s="2242"/>
      <c r="SPH188" s="1360"/>
      <c r="SPI188" s="955"/>
      <c r="SPJ188" s="1361"/>
      <c r="SPK188" s="1360"/>
      <c r="SPL188" s="1925"/>
      <c r="SPM188" s="955"/>
      <c r="SPN188" s="963"/>
      <c r="SPO188" s="2242"/>
      <c r="SPP188" s="1360"/>
      <c r="SPQ188" s="955"/>
      <c r="SPR188" s="1361"/>
      <c r="SPS188" s="1360"/>
      <c r="SPT188" s="1925"/>
      <c r="SPU188" s="955"/>
      <c r="SPV188" s="963"/>
      <c r="SPW188" s="2242"/>
      <c r="SPX188" s="1360"/>
      <c r="SPY188" s="955"/>
      <c r="SPZ188" s="1361"/>
      <c r="SQA188" s="1360"/>
      <c r="SQB188" s="1925"/>
      <c r="SQC188" s="955"/>
      <c r="SQD188" s="963"/>
      <c r="SQE188" s="2242"/>
      <c r="SQF188" s="1360"/>
      <c r="SQG188" s="955"/>
      <c r="SQH188" s="1361"/>
      <c r="SQI188" s="1360"/>
      <c r="SQJ188" s="1925"/>
      <c r="SQK188" s="955"/>
      <c r="SQL188" s="963"/>
      <c r="SQM188" s="2242"/>
      <c r="SQN188" s="1360"/>
      <c r="SQO188" s="955"/>
      <c r="SQP188" s="1361"/>
      <c r="SQQ188" s="1360"/>
      <c r="SQR188" s="1925"/>
      <c r="SQS188" s="955"/>
      <c r="SQT188" s="963"/>
      <c r="SQU188" s="2242"/>
      <c r="SQV188" s="1360"/>
      <c r="SQW188" s="955"/>
      <c r="SQX188" s="1361"/>
      <c r="SQY188" s="1360"/>
      <c r="SQZ188" s="1925"/>
      <c r="SRA188" s="955"/>
      <c r="SRB188" s="963"/>
      <c r="SRC188" s="2242"/>
      <c r="SRD188" s="1360"/>
      <c r="SRE188" s="955"/>
      <c r="SRF188" s="1361"/>
      <c r="SRG188" s="1360"/>
      <c r="SRH188" s="1925"/>
      <c r="SRI188" s="955"/>
      <c r="SRJ188" s="963"/>
      <c r="SRK188" s="2242"/>
      <c r="SRL188" s="1360"/>
      <c r="SRM188" s="955"/>
      <c r="SRN188" s="1361"/>
      <c r="SRO188" s="1360"/>
      <c r="SRP188" s="1925"/>
      <c r="SRQ188" s="955"/>
      <c r="SRR188" s="963"/>
      <c r="SRS188" s="2242"/>
      <c r="SRT188" s="1360"/>
      <c r="SRU188" s="955"/>
      <c r="SRV188" s="1361"/>
      <c r="SRW188" s="1360"/>
      <c r="SRX188" s="1925"/>
      <c r="SRY188" s="955"/>
      <c r="SRZ188" s="963"/>
      <c r="SSA188" s="2242"/>
      <c r="SSB188" s="1360"/>
      <c r="SSC188" s="955"/>
      <c r="SSD188" s="1361"/>
      <c r="SSE188" s="1360"/>
      <c r="SSF188" s="1925"/>
      <c r="SSG188" s="955"/>
      <c r="SSH188" s="963"/>
      <c r="SSI188" s="2242"/>
      <c r="SSJ188" s="1360"/>
      <c r="SSK188" s="955"/>
      <c r="SSL188" s="1361"/>
      <c r="SSM188" s="1360"/>
      <c r="SSN188" s="1925"/>
      <c r="SSO188" s="955"/>
      <c r="SSP188" s="963"/>
      <c r="SSQ188" s="2242"/>
      <c r="SSR188" s="1360"/>
      <c r="SSS188" s="955"/>
      <c r="SST188" s="1361"/>
      <c r="SSU188" s="1360"/>
      <c r="SSV188" s="1925"/>
      <c r="SSW188" s="955"/>
      <c r="SSX188" s="963"/>
      <c r="SSY188" s="2242"/>
      <c r="SSZ188" s="1360"/>
      <c r="STA188" s="955"/>
      <c r="STB188" s="1361"/>
      <c r="STC188" s="1360"/>
      <c r="STD188" s="1925"/>
      <c r="STE188" s="955"/>
      <c r="STF188" s="963"/>
      <c r="STG188" s="2242"/>
      <c r="STH188" s="1360"/>
      <c r="STI188" s="955"/>
      <c r="STJ188" s="1361"/>
      <c r="STK188" s="1360"/>
      <c r="STL188" s="1925"/>
      <c r="STM188" s="955"/>
      <c r="STN188" s="963"/>
      <c r="STO188" s="2242"/>
      <c r="STP188" s="1360"/>
      <c r="STQ188" s="955"/>
      <c r="STR188" s="1361"/>
      <c r="STS188" s="1360"/>
      <c r="STT188" s="1925"/>
      <c r="STU188" s="955"/>
      <c r="STV188" s="963"/>
      <c r="STW188" s="2242"/>
      <c r="STX188" s="1360"/>
      <c r="STY188" s="955"/>
      <c r="STZ188" s="1361"/>
      <c r="SUA188" s="1360"/>
      <c r="SUB188" s="1925"/>
      <c r="SUC188" s="955"/>
      <c r="SUD188" s="963"/>
      <c r="SUE188" s="2242"/>
      <c r="SUF188" s="1360"/>
      <c r="SUG188" s="955"/>
      <c r="SUH188" s="1361"/>
      <c r="SUI188" s="1360"/>
      <c r="SUJ188" s="1925"/>
      <c r="SUK188" s="955"/>
      <c r="SUL188" s="963"/>
      <c r="SUM188" s="2242"/>
      <c r="SUN188" s="1360"/>
      <c r="SUO188" s="955"/>
      <c r="SUP188" s="1361"/>
      <c r="SUQ188" s="1360"/>
      <c r="SUR188" s="1925"/>
      <c r="SUS188" s="955"/>
      <c r="SUT188" s="963"/>
      <c r="SUU188" s="2242"/>
      <c r="SUV188" s="1360"/>
      <c r="SUW188" s="955"/>
      <c r="SUX188" s="1361"/>
      <c r="SUY188" s="1360"/>
      <c r="SUZ188" s="1925"/>
      <c r="SVA188" s="955"/>
      <c r="SVB188" s="963"/>
      <c r="SVC188" s="2242"/>
      <c r="SVD188" s="1360"/>
      <c r="SVE188" s="955"/>
      <c r="SVF188" s="1361"/>
      <c r="SVG188" s="1360"/>
      <c r="SVH188" s="1925"/>
      <c r="SVI188" s="955"/>
      <c r="SVJ188" s="963"/>
      <c r="SVK188" s="2242"/>
      <c r="SVL188" s="1360"/>
      <c r="SVM188" s="955"/>
      <c r="SVN188" s="1361"/>
      <c r="SVO188" s="1360"/>
      <c r="SVP188" s="1925"/>
      <c r="SVQ188" s="955"/>
      <c r="SVR188" s="963"/>
      <c r="SVS188" s="2242"/>
      <c r="SVT188" s="1360"/>
      <c r="SVU188" s="955"/>
      <c r="SVV188" s="1361"/>
      <c r="SVW188" s="1360"/>
      <c r="SVX188" s="1925"/>
      <c r="SVY188" s="955"/>
      <c r="SVZ188" s="963"/>
      <c r="SWA188" s="2242"/>
      <c r="SWB188" s="1360"/>
      <c r="SWC188" s="955"/>
      <c r="SWD188" s="1361"/>
      <c r="SWE188" s="1360"/>
      <c r="SWF188" s="1925"/>
      <c r="SWG188" s="955"/>
      <c r="SWH188" s="963"/>
      <c r="SWI188" s="2242"/>
      <c r="SWJ188" s="1360"/>
      <c r="SWK188" s="955"/>
      <c r="SWL188" s="1361"/>
      <c r="SWM188" s="1360"/>
      <c r="SWN188" s="1925"/>
      <c r="SWO188" s="955"/>
      <c r="SWP188" s="963"/>
      <c r="SWQ188" s="2242"/>
      <c r="SWR188" s="1360"/>
      <c r="SWS188" s="955"/>
      <c r="SWT188" s="1361"/>
      <c r="SWU188" s="1360"/>
      <c r="SWV188" s="1925"/>
      <c r="SWW188" s="955"/>
      <c r="SWX188" s="963"/>
      <c r="SWY188" s="2242"/>
      <c r="SWZ188" s="1360"/>
      <c r="SXA188" s="955"/>
      <c r="SXB188" s="1361"/>
      <c r="SXC188" s="1360"/>
      <c r="SXD188" s="1925"/>
      <c r="SXE188" s="955"/>
      <c r="SXF188" s="963"/>
      <c r="SXG188" s="2242"/>
      <c r="SXH188" s="1360"/>
      <c r="SXI188" s="955"/>
      <c r="SXJ188" s="1361"/>
      <c r="SXK188" s="1360"/>
      <c r="SXL188" s="1925"/>
      <c r="SXM188" s="955"/>
      <c r="SXN188" s="963"/>
      <c r="SXO188" s="2242"/>
      <c r="SXP188" s="1360"/>
      <c r="SXQ188" s="955"/>
      <c r="SXR188" s="1361"/>
      <c r="SXS188" s="1360"/>
      <c r="SXT188" s="1925"/>
      <c r="SXU188" s="955"/>
      <c r="SXV188" s="963"/>
      <c r="SXW188" s="2242"/>
      <c r="SXX188" s="1360"/>
      <c r="SXY188" s="955"/>
      <c r="SXZ188" s="1361"/>
      <c r="SYA188" s="1360"/>
      <c r="SYB188" s="1925"/>
      <c r="SYC188" s="955"/>
      <c r="SYD188" s="963"/>
      <c r="SYE188" s="2242"/>
      <c r="SYF188" s="1360"/>
      <c r="SYG188" s="955"/>
      <c r="SYH188" s="1361"/>
      <c r="SYI188" s="1360"/>
      <c r="SYJ188" s="1925"/>
      <c r="SYK188" s="955"/>
      <c r="SYL188" s="963"/>
      <c r="SYM188" s="2242"/>
      <c r="SYN188" s="1360"/>
      <c r="SYO188" s="955"/>
      <c r="SYP188" s="1361"/>
      <c r="SYQ188" s="1360"/>
      <c r="SYR188" s="1925"/>
      <c r="SYS188" s="955"/>
      <c r="SYT188" s="963"/>
      <c r="SYU188" s="2242"/>
      <c r="SYV188" s="1360"/>
      <c r="SYW188" s="955"/>
      <c r="SYX188" s="1361"/>
      <c r="SYY188" s="1360"/>
      <c r="SYZ188" s="1925"/>
      <c r="SZA188" s="955"/>
      <c r="SZB188" s="963"/>
      <c r="SZC188" s="2242"/>
      <c r="SZD188" s="1360"/>
      <c r="SZE188" s="955"/>
      <c r="SZF188" s="1361"/>
      <c r="SZG188" s="1360"/>
      <c r="SZH188" s="1925"/>
      <c r="SZI188" s="955"/>
      <c r="SZJ188" s="963"/>
      <c r="SZK188" s="2242"/>
      <c r="SZL188" s="1360"/>
      <c r="SZM188" s="955"/>
      <c r="SZN188" s="1361"/>
      <c r="SZO188" s="1360"/>
      <c r="SZP188" s="1925"/>
      <c r="SZQ188" s="955"/>
      <c r="SZR188" s="963"/>
      <c r="SZS188" s="2242"/>
      <c r="SZT188" s="1360"/>
      <c r="SZU188" s="955"/>
      <c r="SZV188" s="1361"/>
      <c r="SZW188" s="1360"/>
      <c r="SZX188" s="1925"/>
      <c r="SZY188" s="955"/>
      <c r="SZZ188" s="963"/>
      <c r="TAA188" s="2242"/>
      <c r="TAB188" s="1360"/>
      <c r="TAC188" s="955"/>
      <c r="TAD188" s="1361"/>
      <c r="TAE188" s="1360"/>
      <c r="TAF188" s="1925"/>
      <c r="TAG188" s="955"/>
      <c r="TAH188" s="963"/>
      <c r="TAI188" s="2242"/>
      <c r="TAJ188" s="1360"/>
      <c r="TAK188" s="955"/>
      <c r="TAL188" s="1361"/>
      <c r="TAM188" s="1360"/>
      <c r="TAN188" s="1925"/>
      <c r="TAO188" s="955"/>
      <c r="TAP188" s="963"/>
      <c r="TAQ188" s="2242"/>
      <c r="TAR188" s="1360"/>
      <c r="TAS188" s="955"/>
      <c r="TAT188" s="1361"/>
      <c r="TAU188" s="1360"/>
      <c r="TAV188" s="1925"/>
      <c r="TAW188" s="955"/>
      <c r="TAX188" s="963"/>
      <c r="TAY188" s="2242"/>
      <c r="TAZ188" s="1360"/>
      <c r="TBA188" s="955"/>
      <c r="TBB188" s="1361"/>
      <c r="TBC188" s="1360"/>
      <c r="TBD188" s="1925"/>
      <c r="TBE188" s="955"/>
      <c r="TBF188" s="963"/>
      <c r="TBG188" s="2242"/>
      <c r="TBH188" s="1360"/>
      <c r="TBI188" s="955"/>
      <c r="TBJ188" s="1361"/>
      <c r="TBK188" s="1360"/>
      <c r="TBL188" s="1925"/>
      <c r="TBM188" s="955"/>
      <c r="TBN188" s="963"/>
      <c r="TBO188" s="2242"/>
      <c r="TBP188" s="1360"/>
      <c r="TBQ188" s="955"/>
      <c r="TBR188" s="1361"/>
      <c r="TBS188" s="1360"/>
      <c r="TBT188" s="1925"/>
      <c r="TBU188" s="955"/>
      <c r="TBV188" s="963"/>
      <c r="TBW188" s="2242"/>
      <c r="TBX188" s="1360"/>
      <c r="TBY188" s="955"/>
      <c r="TBZ188" s="1361"/>
      <c r="TCA188" s="1360"/>
      <c r="TCB188" s="1925"/>
      <c r="TCC188" s="955"/>
      <c r="TCD188" s="963"/>
      <c r="TCE188" s="2242"/>
      <c r="TCF188" s="1360"/>
      <c r="TCG188" s="955"/>
      <c r="TCH188" s="1361"/>
      <c r="TCI188" s="1360"/>
      <c r="TCJ188" s="1925"/>
      <c r="TCK188" s="955"/>
      <c r="TCL188" s="963"/>
      <c r="TCM188" s="2242"/>
      <c r="TCN188" s="1360"/>
      <c r="TCO188" s="955"/>
      <c r="TCP188" s="1361"/>
      <c r="TCQ188" s="1360"/>
      <c r="TCR188" s="1925"/>
      <c r="TCS188" s="955"/>
      <c r="TCT188" s="963"/>
      <c r="TCU188" s="2242"/>
      <c r="TCV188" s="1360"/>
      <c r="TCW188" s="955"/>
      <c r="TCX188" s="1361"/>
      <c r="TCY188" s="1360"/>
      <c r="TCZ188" s="1925"/>
      <c r="TDA188" s="955"/>
      <c r="TDB188" s="963"/>
      <c r="TDC188" s="2242"/>
      <c r="TDD188" s="1360"/>
      <c r="TDE188" s="955"/>
      <c r="TDF188" s="1361"/>
      <c r="TDG188" s="1360"/>
      <c r="TDH188" s="1925"/>
      <c r="TDI188" s="955"/>
      <c r="TDJ188" s="963"/>
      <c r="TDK188" s="2242"/>
      <c r="TDL188" s="1360"/>
      <c r="TDM188" s="955"/>
      <c r="TDN188" s="1361"/>
      <c r="TDO188" s="1360"/>
      <c r="TDP188" s="1925"/>
      <c r="TDQ188" s="955"/>
      <c r="TDR188" s="963"/>
      <c r="TDS188" s="2242"/>
      <c r="TDT188" s="1360"/>
      <c r="TDU188" s="955"/>
      <c r="TDV188" s="1361"/>
      <c r="TDW188" s="1360"/>
      <c r="TDX188" s="1925"/>
      <c r="TDY188" s="955"/>
      <c r="TDZ188" s="963"/>
      <c r="TEA188" s="2242"/>
      <c r="TEB188" s="1360"/>
      <c r="TEC188" s="955"/>
      <c r="TED188" s="1361"/>
      <c r="TEE188" s="1360"/>
      <c r="TEF188" s="1925"/>
      <c r="TEG188" s="955"/>
      <c r="TEH188" s="963"/>
      <c r="TEI188" s="2242"/>
      <c r="TEJ188" s="1360"/>
      <c r="TEK188" s="955"/>
      <c r="TEL188" s="1361"/>
      <c r="TEM188" s="1360"/>
      <c r="TEN188" s="1925"/>
      <c r="TEO188" s="955"/>
      <c r="TEP188" s="963"/>
      <c r="TEQ188" s="2242"/>
      <c r="TER188" s="1360"/>
      <c r="TES188" s="955"/>
      <c r="TET188" s="1361"/>
      <c r="TEU188" s="1360"/>
      <c r="TEV188" s="1925"/>
      <c r="TEW188" s="955"/>
      <c r="TEX188" s="963"/>
      <c r="TEY188" s="2242"/>
      <c r="TEZ188" s="1360"/>
      <c r="TFA188" s="955"/>
      <c r="TFB188" s="1361"/>
      <c r="TFC188" s="1360"/>
      <c r="TFD188" s="1925"/>
      <c r="TFE188" s="955"/>
      <c r="TFF188" s="963"/>
      <c r="TFG188" s="2242"/>
      <c r="TFH188" s="1360"/>
      <c r="TFI188" s="955"/>
      <c r="TFJ188" s="1361"/>
      <c r="TFK188" s="1360"/>
      <c r="TFL188" s="1925"/>
      <c r="TFM188" s="955"/>
      <c r="TFN188" s="963"/>
      <c r="TFO188" s="2242"/>
      <c r="TFP188" s="1360"/>
      <c r="TFQ188" s="955"/>
      <c r="TFR188" s="1361"/>
      <c r="TFS188" s="1360"/>
      <c r="TFT188" s="1925"/>
      <c r="TFU188" s="955"/>
      <c r="TFV188" s="963"/>
      <c r="TFW188" s="2242"/>
      <c r="TFX188" s="1360"/>
      <c r="TFY188" s="955"/>
      <c r="TFZ188" s="1361"/>
      <c r="TGA188" s="1360"/>
      <c r="TGB188" s="1925"/>
      <c r="TGC188" s="955"/>
      <c r="TGD188" s="963"/>
      <c r="TGE188" s="2242"/>
      <c r="TGF188" s="1360"/>
      <c r="TGG188" s="955"/>
      <c r="TGH188" s="1361"/>
      <c r="TGI188" s="1360"/>
      <c r="TGJ188" s="1925"/>
      <c r="TGK188" s="955"/>
      <c r="TGL188" s="963"/>
      <c r="TGM188" s="2242"/>
      <c r="TGN188" s="1360"/>
      <c r="TGO188" s="955"/>
      <c r="TGP188" s="1361"/>
      <c r="TGQ188" s="1360"/>
      <c r="TGR188" s="1925"/>
      <c r="TGS188" s="955"/>
      <c r="TGT188" s="963"/>
      <c r="TGU188" s="2242"/>
      <c r="TGV188" s="1360"/>
      <c r="TGW188" s="955"/>
      <c r="TGX188" s="1361"/>
      <c r="TGY188" s="1360"/>
      <c r="TGZ188" s="1925"/>
      <c r="THA188" s="955"/>
      <c r="THB188" s="963"/>
      <c r="THC188" s="2242"/>
      <c r="THD188" s="1360"/>
      <c r="THE188" s="955"/>
      <c r="THF188" s="1361"/>
      <c r="THG188" s="1360"/>
      <c r="THH188" s="1925"/>
      <c r="THI188" s="955"/>
      <c r="THJ188" s="963"/>
      <c r="THK188" s="2242"/>
      <c r="THL188" s="1360"/>
      <c r="THM188" s="955"/>
      <c r="THN188" s="1361"/>
      <c r="THO188" s="1360"/>
      <c r="THP188" s="1925"/>
      <c r="THQ188" s="955"/>
      <c r="THR188" s="963"/>
      <c r="THS188" s="2242"/>
      <c r="THT188" s="1360"/>
      <c r="THU188" s="955"/>
      <c r="THV188" s="1361"/>
      <c r="THW188" s="1360"/>
      <c r="THX188" s="1925"/>
      <c r="THY188" s="955"/>
      <c r="THZ188" s="963"/>
      <c r="TIA188" s="2242"/>
      <c r="TIB188" s="1360"/>
      <c r="TIC188" s="955"/>
      <c r="TID188" s="1361"/>
      <c r="TIE188" s="1360"/>
      <c r="TIF188" s="1925"/>
      <c r="TIG188" s="955"/>
      <c r="TIH188" s="963"/>
      <c r="TII188" s="2242"/>
      <c r="TIJ188" s="1360"/>
      <c r="TIK188" s="955"/>
      <c r="TIL188" s="1361"/>
      <c r="TIM188" s="1360"/>
      <c r="TIN188" s="1925"/>
      <c r="TIO188" s="955"/>
      <c r="TIP188" s="963"/>
      <c r="TIQ188" s="2242"/>
      <c r="TIR188" s="1360"/>
      <c r="TIS188" s="955"/>
      <c r="TIT188" s="1361"/>
      <c r="TIU188" s="1360"/>
      <c r="TIV188" s="1925"/>
      <c r="TIW188" s="955"/>
      <c r="TIX188" s="963"/>
      <c r="TIY188" s="2242"/>
      <c r="TIZ188" s="1360"/>
      <c r="TJA188" s="955"/>
      <c r="TJB188" s="1361"/>
      <c r="TJC188" s="1360"/>
      <c r="TJD188" s="1925"/>
      <c r="TJE188" s="955"/>
      <c r="TJF188" s="963"/>
      <c r="TJG188" s="2242"/>
      <c r="TJH188" s="1360"/>
      <c r="TJI188" s="955"/>
      <c r="TJJ188" s="1361"/>
      <c r="TJK188" s="1360"/>
      <c r="TJL188" s="1925"/>
      <c r="TJM188" s="955"/>
      <c r="TJN188" s="963"/>
      <c r="TJO188" s="2242"/>
      <c r="TJP188" s="1360"/>
      <c r="TJQ188" s="955"/>
      <c r="TJR188" s="1361"/>
      <c r="TJS188" s="1360"/>
      <c r="TJT188" s="1925"/>
      <c r="TJU188" s="955"/>
      <c r="TJV188" s="963"/>
      <c r="TJW188" s="2242"/>
      <c r="TJX188" s="1360"/>
      <c r="TJY188" s="955"/>
      <c r="TJZ188" s="1361"/>
      <c r="TKA188" s="1360"/>
      <c r="TKB188" s="1925"/>
      <c r="TKC188" s="955"/>
      <c r="TKD188" s="963"/>
      <c r="TKE188" s="2242"/>
      <c r="TKF188" s="1360"/>
      <c r="TKG188" s="955"/>
      <c r="TKH188" s="1361"/>
      <c r="TKI188" s="1360"/>
      <c r="TKJ188" s="1925"/>
      <c r="TKK188" s="955"/>
      <c r="TKL188" s="963"/>
      <c r="TKM188" s="2242"/>
      <c r="TKN188" s="1360"/>
      <c r="TKO188" s="955"/>
      <c r="TKP188" s="1361"/>
      <c r="TKQ188" s="1360"/>
      <c r="TKR188" s="1925"/>
      <c r="TKS188" s="955"/>
      <c r="TKT188" s="963"/>
      <c r="TKU188" s="2242"/>
      <c r="TKV188" s="1360"/>
      <c r="TKW188" s="955"/>
      <c r="TKX188" s="1361"/>
      <c r="TKY188" s="1360"/>
      <c r="TKZ188" s="1925"/>
      <c r="TLA188" s="955"/>
      <c r="TLB188" s="963"/>
      <c r="TLC188" s="2242"/>
      <c r="TLD188" s="1360"/>
      <c r="TLE188" s="955"/>
      <c r="TLF188" s="1361"/>
      <c r="TLG188" s="1360"/>
      <c r="TLH188" s="1925"/>
      <c r="TLI188" s="955"/>
      <c r="TLJ188" s="963"/>
      <c r="TLK188" s="2242"/>
      <c r="TLL188" s="1360"/>
      <c r="TLM188" s="955"/>
      <c r="TLN188" s="1361"/>
      <c r="TLO188" s="1360"/>
      <c r="TLP188" s="1925"/>
      <c r="TLQ188" s="955"/>
      <c r="TLR188" s="963"/>
      <c r="TLS188" s="2242"/>
      <c r="TLT188" s="1360"/>
      <c r="TLU188" s="955"/>
      <c r="TLV188" s="1361"/>
      <c r="TLW188" s="1360"/>
      <c r="TLX188" s="1925"/>
      <c r="TLY188" s="955"/>
      <c r="TLZ188" s="963"/>
      <c r="TMA188" s="2242"/>
      <c r="TMB188" s="1360"/>
      <c r="TMC188" s="955"/>
      <c r="TMD188" s="1361"/>
      <c r="TME188" s="1360"/>
      <c r="TMF188" s="1925"/>
      <c r="TMG188" s="955"/>
      <c r="TMH188" s="963"/>
      <c r="TMI188" s="2242"/>
      <c r="TMJ188" s="1360"/>
      <c r="TMK188" s="955"/>
      <c r="TML188" s="1361"/>
      <c r="TMM188" s="1360"/>
      <c r="TMN188" s="1925"/>
      <c r="TMO188" s="955"/>
      <c r="TMP188" s="963"/>
      <c r="TMQ188" s="2242"/>
      <c r="TMR188" s="1360"/>
      <c r="TMS188" s="955"/>
      <c r="TMT188" s="1361"/>
      <c r="TMU188" s="1360"/>
      <c r="TMV188" s="1925"/>
      <c r="TMW188" s="955"/>
      <c r="TMX188" s="963"/>
      <c r="TMY188" s="2242"/>
      <c r="TMZ188" s="1360"/>
      <c r="TNA188" s="955"/>
      <c r="TNB188" s="1361"/>
      <c r="TNC188" s="1360"/>
      <c r="TND188" s="1925"/>
      <c r="TNE188" s="955"/>
      <c r="TNF188" s="963"/>
      <c r="TNG188" s="2242"/>
      <c r="TNH188" s="1360"/>
      <c r="TNI188" s="955"/>
      <c r="TNJ188" s="1361"/>
      <c r="TNK188" s="1360"/>
      <c r="TNL188" s="1925"/>
      <c r="TNM188" s="955"/>
      <c r="TNN188" s="963"/>
      <c r="TNO188" s="2242"/>
      <c r="TNP188" s="1360"/>
      <c r="TNQ188" s="955"/>
      <c r="TNR188" s="1361"/>
      <c r="TNS188" s="1360"/>
      <c r="TNT188" s="1925"/>
      <c r="TNU188" s="955"/>
      <c r="TNV188" s="963"/>
      <c r="TNW188" s="2242"/>
      <c r="TNX188" s="1360"/>
      <c r="TNY188" s="955"/>
      <c r="TNZ188" s="1361"/>
      <c r="TOA188" s="1360"/>
      <c r="TOB188" s="1925"/>
      <c r="TOC188" s="955"/>
      <c r="TOD188" s="963"/>
      <c r="TOE188" s="2242"/>
      <c r="TOF188" s="1360"/>
      <c r="TOG188" s="955"/>
      <c r="TOH188" s="1361"/>
      <c r="TOI188" s="1360"/>
      <c r="TOJ188" s="1925"/>
      <c r="TOK188" s="955"/>
      <c r="TOL188" s="963"/>
      <c r="TOM188" s="2242"/>
      <c r="TON188" s="1360"/>
      <c r="TOO188" s="955"/>
      <c r="TOP188" s="1361"/>
      <c r="TOQ188" s="1360"/>
      <c r="TOR188" s="1925"/>
      <c r="TOS188" s="955"/>
      <c r="TOT188" s="963"/>
      <c r="TOU188" s="2242"/>
      <c r="TOV188" s="1360"/>
      <c r="TOW188" s="955"/>
      <c r="TOX188" s="1361"/>
      <c r="TOY188" s="1360"/>
      <c r="TOZ188" s="1925"/>
      <c r="TPA188" s="955"/>
      <c r="TPB188" s="963"/>
      <c r="TPC188" s="2242"/>
      <c r="TPD188" s="1360"/>
      <c r="TPE188" s="955"/>
      <c r="TPF188" s="1361"/>
      <c r="TPG188" s="1360"/>
      <c r="TPH188" s="1925"/>
      <c r="TPI188" s="955"/>
      <c r="TPJ188" s="963"/>
      <c r="TPK188" s="2242"/>
      <c r="TPL188" s="1360"/>
      <c r="TPM188" s="955"/>
      <c r="TPN188" s="1361"/>
      <c r="TPO188" s="1360"/>
      <c r="TPP188" s="1925"/>
      <c r="TPQ188" s="955"/>
      <c r="TPR188" s="963"/>
      <c r="TPS188" s="2242"/>
      <c r="TPT188" s="1360"/>
      <c r="TPU188" s="955"/>
      <c r="TPV188" s="1361"/>
      <c r="TPW188" s="1360"/>
      <c r="TPX188" s="1925"/>
      <c r="TPY188" s="955"/>
      <c r="TPZ188" s="963"/>
      <c r="TQA188" s="2242"/>
      <c r="TQB188" s="1360"/>
      <c r="TQC188" s="955"/>
      <c r="TQD188" s="1361"/>
      <c r="TQE188" s="1360"/>
      <c r="TQF188" s="1925"/>
      <c r="TQG188" s="955"/>
      <c r="TQH188" s="963"/>
      <c r="TQI188" s="2242"/>
      <c r="TQJ188" s="1360"/>
      <c r="TQK188" s="955"/>
      <c r="TQL188" s="1361"/>
      <c r="TQM188" s="1360"/>
      <c r="TQN188" s="1925"/>
      <c r="TQO188" s="955"/>
      <c r="TQP188" s="963"/>
      <c r="TQQ188" s="2242"/>
      <c r="TQR188" s="1360"/>
      <c r="TQS188" s="955"/>
      <c r="TQT188" s="1361"/>
      <c r="TQU188" s="1360"/>
      <c r="TQV188" s="1925"/>
      <c r="TQW188" s="955"/>
      <c r="TQX188" s="963"/>
      <c r="TQY188" s="2242"/>
      <c r="TQZ188" s="1360"/>
      <c r="TRA188" s="955"/>
      <c r="TRB188" s="1361"/>
      <c r="TRC188" s="1360"/>
      <c r="TRD188" s="1925"/>
      <c r="TRE188" s="955"/>
      <c r="TRF188" s="963"/>
      <c r="TRG188" s="2242"/>
      <c r="TRH188" s="1360"/>
      <c r="TRI188" s="955"/>
      <c r="TRJ188" s="1361"/>
      <c r="TRK188" s="1360"/>
      <c r="TRL188" s="1925"/>
      <c r="TRM188" s="955"/>
      <c r="TRN188" s="963"/>
      <c r="TRO188" s="2242"/>
      <c r="TRP188" s="1360"/>
      <c r="TRQ188" s="955"/>
      <c r="TRR188" s="1361"/>
      <c r="TRS188" s="1360"/>
      <c r="TRT188" s="1925"/>
      <c r="TRU188" s="955"/>
      <c r="TRV188" s="963"/>
      <c r="TRW188" s="2242"/>
      <c r="TRX188" s="1360"/>
      <c r="TRY188" s="955"/>
      <c r="TRZ188" s="1361"/>
      <c r="TSA188" s="1360"/>
      <c r="TSB188" s="1925"/>
      <c r="TSC188" s="955"/>
      <c r="TSD188" s="963"/>
      <c r="TSE188" s="2242"/>
      <c r="TSF188" s="1360"/>
      <c r="TSG188" s="955"/>
      <c r="TSH188" s="1361"/>
      <c r="TSI188" s="1360"/>
      <c r="TSJ188" s="1925"/>
      <c r="TSK188" s="955"/>
      <c r="TSL188" s="963"/>
      <c r="TSM188" s="2242"/>
      <c r="TSN188" s="1360"/>
      <c r="TSO188" s="955"/>
      <c r="TSP188" s="1361"/>
      <c r="TSQ188" s="1360"/>
      <c r="TSR188" s="1925"/>
      <c r="TSS188" s="955"/>
      <c r="TST188" s="963"/>
      <c r="TSU188" s="2242"/>
      <c r="TSV188" s="1360"/>
      <c r="TSW188" s="955"/>
      <c r="TSX188" s="1361"/>
      <c r="TSY188" s="1360"/>
      <c r="TSZ188" s="1925"/>
      <c r="TTA188" s="955"/>
      <c r="TTB188" s="963"/>
      <c r="TTC188" s="2242"/>
      <c r="TTD188" s="1360"/>
      <c r="TTE188" s="955"/>
      <c r="TTF188" s="1361"/>
      <c r="TTG188" s="1360"/>
      <c r="TTH188" s="1925"/>
      <c r="TTI188" s="955"/>
      <c r="TTJ188" s="963"/>
      <c r="TTK188" s="2242"/>
      <c r="TTL188" s="1360"/>
      <c r="TTM188" s="955"/>
      <c r="TTN188" s="1361"/>
      <c r="TTO188" s="1360"/>
      <c r="TTP188" s="1925"/>
      <c r="TTQ188" s="955"/>
      <c r="TTR188" s="963"/>
      <c r="TTS188" s="2242"/>
      <c r="TTT188" s="1360"/>
      <c r="TTU188" s="955"/>
      <c r="TTV188" s="1361"/>
      <c r="TTW188" s="1360"/>
      <c r="TTX188" s="1925"/>
      <c r="TTY188" s="955"/>
      <c r="TTZ188" s="963"/>
      <c r="TUA188" s="2242"/>
      <c r="TUB188" s="1360"/>
      <c r="TUC188" s="955"/>
      <c r="TUD188" s="1361"/>
      <c r="TUE188" s="1360"/>
      <c r="TUF188" s="1925"/>
      <c r="TUG188" s="955"/>
      <c r="TUH188" s="963"/>
      <c r="TUI188" s="2242"/>
      <c r="TUJ188" s="1360"/>
      <c r="TUK188" s="955"/>
      <c r="TUL188" s="1361"/>
      <c r="TUM188" s="1360"/>
      <c r="TUN188" s="1925"/>
      <c r="TUO188" s="955"/>
      <c r="TUP188" s="963"/>
      <c r="TUQ188" s="2242"/>
      <c r="TUR188" s="1360"/>
      <c r="TUS188" s="955"/>
      <c r="TUT188" s="1361"/>
      <c r="TUU188" s="1360"/>
      <c r="TUV188" s="1925"/>
      <c r="TUW188" s="955"/>
      <c r="TUX188" s="963"/>
      <c r="TUY188" s="2242"/>
      <c r="TUZ188" s="1360"/>
      <c r="TVA188" s="955"/>
      <c r="TVB188" s="1361"/>
      <c r="TVC188" s="1360"/>
      <c r="TVD188" s="1925"/>
      <c r="TVE188" s="955"/>
      <c r="TVF188" s="963"/>
      <c r="TVG188" s="2242"/>
      <c r="TVH188" s="1360"/>
      <c r="TVI188" s="955"/>
      <c r="TVJ188" s="1361"/>
      <c r="TVK188" s="1360"/>
      <c r="TVL188" s="1925"/>
      <c r="TVM188" s="955"/>
      <c r="TVN188" s="963"/>
      <c r="TVO188" s="2242"/>
      <c r="TVP188" s="1360"/>
      <c r="TVQ188" s="955"/>
      <c r="TVR188" s="1361"/>
      <c r="TVS188" s="1360"/>
      <c r="TVT188" s="1925"/>
      <c r="TVU188" s="955"/>
      <c r="TVV188" s="963"/>
      <c r="TVW188" s="2242"/>
      <c r="TVX188" s="1360"/>
      <c r="TVY188" s="955"/>
      <c r="TVZ188" s="1361"/>
      <c r="TWA188" s="1360"/>
      <c r="TWB188" s="1925"/>
      <c r="TWC188" s="955"/>
      <c r="TWD188" s="963"/>
      <c r="TWE188" s="2242"/>
      <c r="TWF188" s="1360"/>
      <c r="TWG188" s="955"/>
      <c r="TWH188" s="1361"/>
      <c r="TWI188" s="1360"/>
      <c r="TWJ188" s="1925"/>
      <c r="TWK188" s="955"/>
      <c r="TWL188" s="963"/>
      <c r="TWM188" s="2242"/>
      <c r="TWN188" s="1360"/>
      <c r="TWO188" s="955"/>
      <c r="TWP188" s="1361"/>
      <c r="TWQ188" s="1360"/>
      <c r="TWR188" s="1925"/>
      <c r="TWS188" s="955"/>
      <c r="TWT188" s="963"/>
      <c r="TWU188" s="2242"/>
      <c r="TWV188" s="1360"/>
      <c r="TWW188" s="955"/>
      <c r="TWX188" s="1361"/>
      <c r="TWY188" s="1360"/>
      <c r="TWZ188" s="1925"/>
      <c r="TXA188" s="955"/>
      <c r="TXB188" s="963"/>
      <c r="TXC188" s="2242"/>
      <c r="TXD188" s="1360"/>
      <c r="TXE188" s="955"/>
      <c r="TXF188" s="1361"/>
      <c r="TXG188" s="1360"/>
      <c r="TXH188" s="1925"/>
      <c r="TXI188" s="955"/>
      <c r="TXJ188" s="963"/>
      <c r="TXK188" s="2242"/>
      <c r="TXL188" s="1360"/>
      <c r="TXM188" s="955"/>
      <c r="TXN188" s="1361"/>
      <c r="TXO188" s="1360"/>
      <c r="TXP188" s="1925"/>
      <c r="TXQ188" s="955"/>
      <c r="TXR188" s="963"/>
      <c r="TXS188" s="2242"/>
      <c r="TXT188" s="1360"/>
      <c r="TXU188" s="955"/>
      <c r="TXV188" s="1361"/>
      <c r="TXW188" s="1360"/>
      <c r="TXX188" s="1925"/>
      <c r="TXY188" s="955"/>
      <c r="TXZ188" s="963"/>
      <c r="TYA188" s="2242"/>
      <c r="TYB188" s="1360"/>
      <c r="TYC188" s="955"/>
      <c r="TYD188" s="1361"/>
      <c r="TYE188" s="1360"/>
      <c r="TYF188" s="1925"/>
      <c r="TYG188" s="955"/>
      <c r="TYH188" s="963"/>
      <c r="TYI188" s="2242"/>
      <c r="TYJ188" s="1360"/>
      <c r="TYK188" s="955"/>
      <c r="TYL188" s="1361"/>
      <c r="TYM188" s="1360"/>
      <c r="TYN188" s="1925"/>
      <c r="TYO188" s="955"/>
      <c r="TYP188" s="963"/>
      <c r="TYQ188" s="2242"/>
      <c r="TYR188" s="1360"/>
      <c r="TYS188" s="955"/>
      <c r="TYT188" s="1361"/>
      <c r="TYU188" s="1360"/>
      <c r="TYV188" s="1925"/>
      <c r="TYW188" s="955"/>
      <c r="TYX188" s="963"/>
      <c r="TYY188" s="2242"/>
      <c r="TYZ188" s="1360"/>
      <c r="TZA188" s="955"/>
      <c r="TZB188" s="1361"/>
      <c r="TZC188" s="1360"/>
      <c r="TZD188" s="1925"/>
      <c r="TZE188" s="955"/>
      <c r="TZF188" s="963"/>
      <c r="TZG188" s="2242"/>
      <c r="TZH188" s="1360"/>
      <c r="TZI188" s="955"/>
      <c r="TZJ188" s="1361"/>
      <c r="TZK188" s="1360"/>
      <c r="TZL188" s="1925"/>
      <c r="TZM188" s="955"/>
      <c r="TZN188" s="963"/>
      <c r="TZO188" s="2242"/>
      <c r="TZP188" s="1360"/>
      <c r="TZQ188" s="955"/>
      <c r="TZR188" s="1361"/>
      <c r="TZS188" s="1360"/>
      <c r="TZT188" s="1925"/>
      <c r="TZU188" s="955"/>
      <c r="TZV188" s="963"/>
      <c r="TZW188" s="2242"/>
      <c r="TZX188" s="1360"/>
      <c r="TZY188" s="955"/>
      <c r="TZZ188" s="1361"/>
      <c r="UAA188" s="1360"/>
      <c r="UAB188" s="1925"/>
      <c r="UAC188" s="955"/>
      <c r="UAD188" s="963"/>
      <c r="UAE188" s="2242"/>
      <c r="UAF188" s="1360"/>
      <c r="UAG188" s="955"/>
      <c r="UAH188" s="1361"/>
      <c r="UAI188" s="1360"/>
      <c r="UAJ188" s="1925"/>
      <c r="UAK188" s="955"/>
      <c r="UAL188" s="963"/>
      <c r="UAM188" s="2242"/>
      <c r="UAN188" s="1360"/>
      <c r="UAO188" s="955"/>
      <c r="UAP188" s="1361"/>
      <c r="UAQ188" s="1360"/>
      <c r="UAR188" s="1925"/>
      <c r="UAS188" s="955"/>
      <c r="UAT188" s="963"/>
      <c r="UAU188" s="2242"/>
      <c r="UAV188" s="1360"/>
      <c r="UAW188" s="955"/>
      <c r="UAX188" s="1361"/>
      <c r="UAY188" s="1360"/>
      <c r="UAZ188" s="1925"/>
      <c r="UBA188" s="955"/>
      <c r="UBB188" s="963"/>
      <c r="UBC188" s="2242"/>
      <c r="UBD188" s="1360"/>
      <c r="UBE188" s="955"/>
      <c r="UBF188" s="1361"/>
      <c r="UBG188" s="1360"/>
      <c r="UBH188" s="1925"/>
      <c r="UBI188" s="955"/>
      <c r="UBJ188" s="963"/>
      <c r="UBK188" s="2242"/>
      <c r="UBL188" s="1360"/>
      <c r="UBM188" s="955"/>
      <c r="UBN188" s="1361"/>
      <c r="UBO188" s="1360"/>
      <c r="UBP188" s="1925"/>
      <c r="UBQ188" s="955"/>
      <c r="UBR188" s="963"/>
      <c r="UBS188" s="2242"/>
      <c r="UBT188" s="1360"/>
      <c r="UBU188" s="955"/>
      <c r="UBV188" s="1361"/>
      <c r="UBW188" s="1360"/>
      <c r="UBX188" s="1925"/>
      <c r="UBY188" s="955"/>
      <c r="UBZ188" s="963"/>
      <c r="UCA188" s="2242"/>
      <c r="UCB188" s="1360"/>
      <c r="UCC188" s="955"/>
      <c r="UCD188" s="1361"/>
      <c r="UCE188" s="1360"/>
      <c r="UCF188" s="1925"/>
      <c r="UCG188" s="955"/>
      <c r="UCH188" s="963"/>
      <c r="UCI188" s="2242"/>
      <c r="UCJ188" s="1360"/>
      <c r="UCK188" s="955"/>
      <c r="UCL188" s="1361"/>
      <c r="UCM188" s="1360"/>
      <c r="UCN188" s="1925"/>
      <c r="UCO188" s="955"/>
      <c r="UCP188" s="963"/>
      <c r="UCQ188" s="2242"/>
      <c r="UCR188" s="1360"/>
      <c r="UCS188" s="955"/>
      <c r="UCT188" s="1361"/>
      <c r="UCU188" s="1360"/>
      <c r="UCV188" s="1925"/>
      <c r="UCW188" s="955"/>
      <c r="UCX188" s="963"/>
      <c r="UCY188" s="2242"/>
      <c r="UCZ188" s="1360"/>
      <c r="UDA188" s="955"/>
      <c r="UDB188" s="1361"/>
      <c r="UDC188" s="1360"/>
      <c r="UDD188" s="1925"/>
      <c r="UDE188" s="955"/>
      <c r="UDF188" s="963"/>
      <c r="UDG188" s="2242"/>
      <c r="UDH188" s="1360"/>
      <c r="UDI188" s="955"/>
      <c r="UDJ188" s="1361"/>
      <c r="UDK188" s="1360"/>
      <c r="UDL188" s="1925"/>
      <c r="UDM188" s="955"/>
      <c r="UDN188" s="963"/>
      <c r="UDO188" s="2242"/>
      <c r="UDP188" s="1360"/>
      <c r="UDQ188" s="955"/>
      <c r="UDR188" s="1361"/>
      <c r="UDS188" s="1360"/>
      <c r="UDT188" s="1925"/>
      <c r="UDU188" s="955"/>
      <c r="UDV188" s="963"/>
      <c r="UDW188" s="2242"/>
      <c r="UDX188" s="1360"/>
      <c r="UDY188" s="955"/>
      <c r="UDZ188" s="1361"/>
      <c r="UEA188" s="1360"/>
      <c r="UEB188" s="1925"/>
      <c r="UEC188" s="955"/>
      <c r="UED188" s="963"/>
      <c r="UEE188" s="2242"/>
      <c r="UEF188" s="1360"/>
      <c r="UEG188" s="955"/>
      <c r="UEH188" s="1361"/>
      <c r="UEI188" s="1360"/>
      <c r="UEJ188" s="1925"/>
      <c r="UEK188" s="955"/>
      <c r="UEL188" s="963"/>
      <c r="UEM188" s="2242"/>
      <c r="UEN188" s="1360"/>
      <c r="UEO188" s="955"/>
      <c r="UEP188" s="1361"/>
      <c r="UEQ188" s="1360"/>
      <c r="UER188" s="1925"/>
      <c r="UES188" s="955"/>
      <c r="UET188" s="963"/>
      <c r="UEU188" s="2242"/>
      <c r="UEV188" s="1360"/>
      <c r="UEW188" s="955"/>
      <c r="UEX188" s="1361"/>
      <c r="UEY188" s="1360"/>
      <c r="UEZ188" s="1925"/>
      <c r="UFA188" s="955"/>
      <c r="UFB188" s="963"/>
      <c r="UFC188" s="2242"/>
      <c r="UFD188" s="1360"/>
      <c r="UFE188" s="955"/>
      <c r="UFF188" s="1361"/>
      <c r="UFG188" s="1360"/>
      <c r="UFH188" s="1925"/>
      <c r="UFI188" s="955"/>
      <c r="UFJ188" s="963"/>
      <c r="UFK188" s="2242"/>
      <c r="UFL188" s="1360"/>
      <c r="UFM188" s="955"/>
      <c r="UFN188" s="1361"/>
      <c r="UFO188" s="1360"/>
      <c r="UFP188" s="1925"/>
      <c r="UFQ188" s="955"/>
      <c r="UFR188" s="963"/>
      <c r="UFS188" s="2242"/>
      <c r="UFT188" s="1360"/>
      <c r="UFU188" s="955"/>
      <c r="UFV188" s="1361"/>
      <c r="UFW188" s="1360"/>
      <c r="UFX188" s="1925"/>
      <c r="UFY188" s="955"/>
      <c r="UFZ188" s="963"/>
      <c r="UGA188" s="2242"/>
      <c r="UGB188" s="1360"/>
      <c r="UGC188" s="955"/>
      <c r="UGD188" s="1361"/>
      <c r="UGE188" s="1360"/>
      <c r="UGF188" s="1925"/>
      <c r="UGG188" s="955"/>
      <c r="UGH188" s="963"/>
      <c r="UGI188" s="2242"/>
      <c r="UGJ188" s="1360"/>
      <c r="UGK188" s="955"/>
      <c r="UGL188" s="1361"/>
      <c r="UGM188" s="1360"/>
      <c r="UGN188" s="1925"/>
      <c r="UGO188" s="955"/>
      <c r="UGP188" s="963"/>
      <c r="UGQ188" s="2242"/>
      <c r="UGR188" s="1360"/>
      <c r="UGS188" s="955"/>
      <c r="UGT188" s="1361"/>
      <c r="UGU188" s="1360"/>
      <c r="UGV188" s="1925"/>
      <c r="UGW188" s="955"/>
      <c r="UGX188" s="963"/>
      <c r="UGY188" s="2242"/>
      <c r="UGZ188" s="1360"/>
      <c r="UHA188" s="955"/>
      <c r="UHB188" s="1361"/>
      <c r="UHC188" s="1360"/>
      <c r="UHD188" s="1925"/>
      <c r="UHE188" s="955"/>
      <c r="UHF188" s="963"/>
      <c r="UHG188" s="2242"/>
      <c r="UHH188" s="1360"/>
      <c r="UHI188" s="955"/>
      <c r="UHJ188" s="1361"/>
      <c r="UHK188" s="1360"/>
      <c r="UHL188" s="1925"/>
      <c r="UHM188" s="955"/>
      <c r="UHN188" s="963"/>
      <c r="UHO188" s="2242"/>
      <c r="UHP188" s="1360"/>
      <c r="UHQ188" s="955"/>
      <c r="UHR188" s="1361"/>
      <c r="UHS188" s="1360"/>
      <c r="UHT188" s="1925"/>
      <c r="UHU188" s="955"/>
      <c r="UHV188" s="963"/>
      <c r="UHW188" s="2242"/>
      <c r="UHX188" s="1360"/>
      <c r="UHY188" s="955"/>
      <c r="UHZ188" s="1361"/>
      <c r="UIA188" s="1360"/>
      <c r="UIB188" s="1925"/>
      <c r="UIC188" s="955"/>
      <c r="UID188" s="963"/>
      <c r="UIE188" s="2242"/>
      <c r="UIF188" s="1360"/>
      <c r="UIG188" s="955"/>
      <c r="UIH188" s="1361"/>
      <c r="UII188" s="1360"/>
      <c r="UIJ188" s="1925"/>
      <c r="UIK188" s="955"/>
      <c r="UIL188" s="963"/>
      <c r="UIM188" s="2242"/>
      <c r="UIN188" s="1360"/>
      <c r="UIO188" s="955"/>
      <c r="UIP188" s="1361"/>
      <c r="UIQ188" s="1360"/>
      <c r="UIR188" s="1925"/>
      <c r="UIS188" s="955"/>
      <c r="UIT188" s="963"/>
      <c r="UIU188" s="2242"/>
      <c r="UIV188" s="1360"/>
      <c r="UIW188" s="955"/>
      <c r="UIX188" s="1361"/>
      <c r="UIY188" s="1360"/>
      <c r="UIZ188" s="1925"/>
      <c r="UJA188" s="955"/>
      <c r="UJB188" s="963"/>
      <c r="UJC188" s="2242"/>
      <c r="UJD188" s="1360"/>
      <c r="UJE188" s="955"/>
      <c r="UJF188" s="1361"/>
      <c r="UJG188" s="1360"/>
      <c r="UJH188" s="1925"/>
      <c r="UJI188" s="955"/>
      <c r="UJJ188" s="963"/>
      <c r="UJK188" s="2242"/>
      <c r="UJL188" s="1360"/>
      <c r="UJM188" s="955"/>
      <c r="UJN188" s="1361"/>
      <c r="UJO188" s="1360"/>
      <c r="UJP188" s="1925"/>
      <c r="UJQ188" s="955"/>
      <c r="UJR188" s="963"/>
      <c r="UJS188" s="2242"/>
      <c r="UJT188" s="1360"/>
      <c r="UJU188" s="955"/>
      <c r="UJV188" s="1361"/>
      <c r="UJW188" s="1360"/>
      <c r="UJX188" s="1925"/>
      <c r="UJY188" s="955"/>
      <c r="UJZ188" s="963"/>
      <c r="UKA188" s="2242"/>
      <c r="UKB188" s="1360"/>
      <c r="UKC188" s="955"/>
      <c r="UKD188" s="1361"/>
      <c r="UKE188" s="1360"/>
      <c r="UKF188" s="1925"/>
      <c r="UKG188" s="955"/>
      <c r="UKH188" s="963"/>
      <c r="UKI188" s="2242"/>
      <c r="UKJ188" s="1360"/>
      <c r="UKK188" s="955"/>
      <c r="UKL188" s="1361"/>
      <c r="UKM188" s="1360"/>
      <c r="UKN188" s="1925"/>
      <c r="UKO188" s="955"/>
      <c r="UKP188" s="963"/>
      <c r="UKQ188" s="2242"/>
      <c r="UKR188" s="1360"/>
      <c r="UKS188" s="955"/>
      <c r="UKT188" s="1361"/>
      <c r="UKU188" s="1360"/>
      <c r="UKV188" s="1925"/>
      <c r="UKW188" s="955"/>
      <c r="UKX188" s="963"/>
      <c r="UKY188" s="2242"/>
      <c r="UKZ188" s="1360"/>
      <c r="ULA188" s="955"/>
      <c r="ULB188" s="1361"/>
      <c r="ULC188" s="1360"/>
      <c r="ULD188" s="1925"/>
      <c r="ULE188" s="955"/>
      <c r="ULF188" s="963"/>
      <c r="ULG188" s="2242"/>
      <c r="ULH188" s="1360"/>
      <c r="ULI188" s="955"/>
      <c r="ULJ188" s="1361"/>
      <c r="ULK188" s="1360"/>
      <c r="ULL188" s="1925"/>
      <c r="ULM188" s="955"/>
      <c r="ULN188" s="963"/>
      <c r="ULO188" s="2242"/>
      <c r="ULP188" s="1360"/>
      <c r="ULQ188" s="955"/>
      <c r="ULR188" s="1361"/>
      <c r="ULS188" s="1360"/>
      <c r="ULT188" s="1925"/>
      <c r="ULU188" s="955"/>
      <c r="ULV188" s="963"/>
      <c r="ULW188" s="2242"/>
      <c r="ULX188" s="1360"/>
      <c r="ULY188" s="955"/>
      <c r="ULZ188" s="1361"/>
      <c r="UMA188" s="1360"/>
      <c r="UMB188" s="1925"/>
      <c r="UMC188" s="955"/>
      <c r="UMD188" s="963"/>
      <c r="UME188" s="2242"/>
      <c r="UMF188" s="1360"/>
      <c r="UMG188" s="955"/>
      <c r="UMH188" s="1361"/>
      <c r="UMI188" s="1360"/>
      <c r="UMJ188" s="1925"/>
      <c r="UMK188" s="955"/>
      <c r="UML188" s="963"/>
      <c r="UMM188" s="2242"/>
      <c r="UMN188" s="1360"/>
      <c r="UMO188" s="955"/>
      <c r="UMP188" s="1361"/>
      <c r="UMQ188" s="1360"/>
      <c r="UMR188" s="1925"/>
      <c r="UMS188" s="955"/>
      <c r="UMT188" s="963"/>
      <c r="UMU188" s="2242"/>
      <c r="UMV188" s="1360"/>
      <c r="UMW188" s="955"/>
      <c r="UMX188" s="1361"/>
      <c r="UMY188" s="1360"/>
      <c r="UMZ188" s="1925"/>
      <c r="UNA188" s="955"/>
      <c r="UNB188" s="963"/>
      <c r="UNC188" s="2242"/>
      <c r="UND188" s="1360"/>
      <c r="UNE188" s="955"/>
      <c r="UNF188" s="1361"/>
      <c r="UNG188" s="1360"/>
      <c r="UNH188" s="1925"/>
      <c r="UNI188" s="955"/>
      <c r="UNJ188" s="963"/>
      <c r="UNK188" s="2242"/>
      <c r="UNL188" s="1360"/>
      <c r="UNM188" s="955"/>
      <c r="UNN188" s="1361"/>
      <c r="UNO188" s="1360"/>
      <c r="UNP188" s="1925"/>
      <c r="UNQ188" s="955"/>
      <c r="UNR188" s="963"/>
      <c r="UNS188" s="2242"/>
      <c r="UNT188" s="1360"/>
      <c r="UNU188" s="955"/>
      <c r="UNV188" s="1361"/>
      <c r="UNW188" s="1360"/>
      <c r="UNX188" s="1925"/>
      <c r="UNY188" s="955"/>
      <c r="UNZ188" s="963"/>
      <c r="UOA188" s="2242"/>
      <c r="UOB188" s="1360"/>
      <c r="UOC188" s="955"/>
      <c r="UOD188" s="1361"/>
      <c r="UOE188" s="1360"/>
      <c r="UOF188" s="1925"/>
      <c r="UOG188" s="955"/>
      <c r="UOH188" s="963"/>
      <c r="UOI188" s="2242"/>
      <c r="UOJ188" s="1360"/>
      <c r="UOK188" s="955"/>
      <c r="UOL188" s="1361"/>
      <c r="UOM188" s="1360"/>
      <c r="UON188" s="1925"/>
      <c r="UOO188" s="955"/>
      <c r="UOP188" s="963"/>
      <c r="UOQ188" s="2242"/>
      <c r="UOR188" s="1360"/>
      <c r="UOS188" s="955"/>
      <c r="UOT188" s="1361"/>
      <c r="UOU188" s="1360"/>
      <c r="UOV188" s="1925"/>
      <c r="UOW188" s="955"/>
      <c r="UOX188" s="963"/>
      <c r="UOY188" s="2242"/>
      <c r="UOZ188" s="1360"/>
      <c r="UPA188" s="955"/>
      <c r="UPB188" s="1361"/>
      <c r="UPC188" s="1360"/>
      <c r="UPD188" s="1925"/>
      <c r="UPE188" s="955"/>
      <c r="UPF188" s="963"/>
      <c r="UPG188" s="2242"/>
      <c r="UPH188" s="1360"/>
      <c r="UPI188" s="955"/>
      <c r="UPJ188" s="1361"/>
      <c r="UPK188" s="1360"/>
      <c r="UPL188" s="1925"/>
      <c r="UPM188" s="955"/>
      <c r="UPN188" s="963"/>
      <c r="UPO188" s="2242"/>
      <c r="UPP188" s="1360"/>
      <c r="UPQ188" s="955"/>
      <c r="UPR188" s="1361"/>
      <c r="UPS188" s="1360"/>
      <c r="UPT188" s="1925"/>
      <c r="UPU188" s="955"/>
      <c r="UPV188" s="963"/>
      <c r="UPW188" s="2242"/>
      <c r="UPX188" s="1360"/>
      <c r="UPY188" s="955"/>
      <c r="UPZ188" s="1361"/>
      <c r="UQA188" s="1360"/>
      <c r="UQB188" s="1925"/>
      <c r="UQC188" s="955"/>
      <c r="UQD188" s="963"/>
      <c r="UQE188" s="2242"/>
      <c r="UQF188" s="1360"/>
      <c r="UQG188" s="955"/>
      <c r="UQH188" s="1361"/>
      <c r="UQI188" s="1360"/>
      <c r="UQJ188" s="1925"/>
      <c r="UQK188" s="955"/>
      <c r="UQL188" s="963"/>
      <c r="UQM188" s="2242"/>
      <c r="UQN188" s="1360"/>
      <c r="UQO188" s="955"/>
      <c r="UQP188" s="1361"/>
      <c r="UQQ188" s="1360"/>
      <c r="UQR188" s="1925"/>
      <c r="UQS188" s="955"/>
      <c r="UQT188" s="963"/>
      <c r="UQU188" s="2242"/>
      <c r="UQV188" s="1360"/>
      <c r="UQW188" s="955"/>
      <c r="UQX188" s="1361"/>
      <c r="UQY188" s="1360"/>
      <c r="UQZ188" s="1925"/>
      <c r="URA188" s="955"/>
      <c r="URB188" s="963"/>
      <c r="URC188" s="2242"/>
      <c r="URD188" s="1360"/>
      <c r="URE188" s="955"/>
      <c r="URF188" s="1361"/>
      <c r="URG188" s="1360"/>
      <c r="URH188" s="1925"/>
      <c r="URI188" s="955"/>
      <c r="URJ188" s="963"/>
      <c r="URK188" s="2242"/>
      <c r="URL188" s="1360"/>
      <c r="URM188" s="955"/>
      <c r="URN188" s="1361"/>
      <c r="URO188" s="1360"/>
      <c r="URP188" s="1925"/>
      <c r="URQ188" s="955"/>
      <c r="URR188" s="963"/>
      <c r="URS188" s="2242"/>
      <c r="URT188" s="1360"/>
      <c r="URU188" s="955"/>
      <c r="URV188" s="1361"/>
      <c r="URW188" s="1360"/>
      <c r="URX188" s="1925"/>
      <c r="URY188" s="955"/>
      <c r="URZ188" s="963"/>
      <c r="USA188" s="2242"/>
      <c r="USB188" s="1360"/>
      <c r="USC188" s="955"/>
      <c r="USD188" s="1361"/>
      <c r="USE188" s="1360"/>
      <c r="USF188" s="1925"/>
      <c r="USG188" s="955"/>
      <c r="USH188" s="963"/>
      <c r="USI188" s="2242"/>
      <c r="USJ188" s="1360"/>
      <c r="USK188" s="955"/>
      <c r="USL188" s="1361"/>
      <c r="USM188" s="1360"/>
      <c r="USN188" s="1925"/>
      <c r="USO188" s="955"/>
      <c r="USP188" s="963"/>
      <c r="USQ188" s="2242"/>
      <c r="USR188" s="1360"/>
      <c r="USS188" s="955"/>
      <c r="UST188" s="1361"/>
      <c r="USU188" s="1360"/>
      <c r="USV188" s="1925"/>
      <c r="USW188" s="955"/>
      <c r="USX188" s="963"/>
      <c r="USY188" s="2242"/>
      <c r="USZ188" s="1360"/>
      <c r="UTA188" s="955"/>
      <c r="UTB188" s="1361"/>
      <c r="UTC188" s="1360"/>
      <c r="UTD188" s="1925"/>
      <c r="UTE188" s="955"/>
      <c r="UTF188" s="963"/>
      <c r="UTG188" s="2242"/>
      <c r="UTH188" s="1360"/>
      <c r="UTI188" s="955"/>
      <c r="UTJ188" s="1361"/>
      <c r="UTK188" s="1360"/>
      <c r="UTL188" s="1925"/>
      <c r="UTM188" s="955"/>
      <c r="UTN188" s="963"/>
      <c r="UTO188" s="2242"/>
      <c r="UTP188" s="1360"/>
      <c r="UTQ188" s="955"/>
      <c r="UTR188" s="1361"/>
      <c r="UTS188" s="1360"/>
      <c r="UTT188" s="1925"/>
      <c r="UTU188" s="955"/>
      <c r="UTV188" s="963"/>
      <c r="UTW188" s="2242"/>
      <c r="UTX188" s="1360"/>
      <c r="UTY188" s="955"/>
      <c r="UTZ188" s="1361"/>
      <c r="UUA188" s="1360"/>
      <c r="UUB188" s="1925"/>
      <c r="UUC188" s="955"/>
      <c r="UUD188" s="963"/>
      <c r="UUE188" s="2242"/>
      <c r="UUF188" s="1360"/>
      <c r="UUG188" s="955"/>
      <c r="UUH188" s="1361"/>
      <c r="UUI188" s="1360"/>
      <c r="UUJ188" s="1925"/>
      <c r="UUK188" s="955"/>
      <c r="UUL188" s="963"/>
      <c r="UUM188" s="2242"/>
      <c r="UUN188" s="1360"/>
      <c r="UUO188" s="955"/>
      <c r="UUP188" s="1361"/>
      <c r="UUQ188" s="1360"/>
      <c r="UUR188" s="1925"/>
      <c r="UUS188" s="955"/>
      <c r="UUT188" s="963"/>
      <c r="UUU188" s="2242"/>
      <c r="UUV188" s="1360"/>
      <c r="UUW188" s="955"/>
      <c r="UUX188" s="1361"/>
      <c r="UUY188" s="1360"/>
      <c r="UUZ188" s="1925"/>
      <c r="UVA188" s="955"/>
      <c r="UVB188" s="963"/>
      <c r="UVC188" s="2242"/>
      <c r="UVD188" s="1360"/>
      <c r="UVE188" s="955"/>
      <c r="UVF188" s="1361"/>
      <c r="UVG188" s="1360"/>
      <c r="UVH188" s="1925"/>
      <c r="UVI188" s="955"/>
      <c r="UVJ188" s="963"/>
      <c r="UVK188" s="2242"/>
      <c r="UVL188" s="1360"/>
      <c r="UVM188" s="955"/>
      <c r="UVN188" s="1361"/>
      <c r="UVO188" s="1360"/>
      <c r="UVP188" s="1925"/>
      <c r="UVQ188" s="955"/>
      <c r="UVR188" s="963"/>
      <c r="UVS188" s="2242"/>
      <c r="UVT188" s="1360"/>
      <c r="UVU188" s="955"/>
      <c r="UVV188" s="1361"/>
      <c r="UVW188" s="1360"/>
      <c r="UVX188" s="1925"/>
      <c r="UVY188" s="955"/>
      <c r="UVZ188" s="963"/>
      <c r="UWA188" s="2242"/>
      <c r="UWB188" s="1360"/>
      <c r="UWC188" s="955"/>
      <c r="UWD188" s="1361"/>
      <c r="UWE188" s="1360"/>
      <c r="UWF188" s="1925"/>
      <c r="UWG188" s="955"/>
      <c r="UWH188" s="963"/>
      <c r="UWI188" s="2242"/>
      <c r="UWJ188" s="1360"/>
      <c r="UWK188" s="955"/>
      <c r="UWL188" s="1361"/>
      <c r="UWM188" s="1360"/>
      <c r="UWN188" s="1925"/>
      <c r="UWO188" s="955"/>
      <c r="UWP188" s="963"/>
      <c r="UWQ188" s="2242"/>
      <c r="UWR188" s="1360"/>
      <c r="UWS188" s="955"/>
      <c r="UWT188" s="1361"/>
      <c r="UWU188" s="1360"/>
      <c r="UWV188" s="1925"/>
      <c r="UWW188" s="955"/>
      <c r="UWX188" s="963"/>
      <c r="UWY188" s="2242"/>
      <c r="UWZ188" s="1360"/>
      <c r="UXA188" s="955"/>
      <c r="UXB188" s="1361"/>
      <c r="UXC188" s="1360"/>
      <c r="UXD188" s="1925"/>
      <c r="UXE188" s="955"/>
      <c r="UXF188" s="963"/>
      <c r="UXG188" s="2242"/>
      <c r="UXH188" s="1360"/>
      <c r="UXI188" s="955"/>
      <c r="UXJ188" s="1361"/>
      <c r="UXK188" s="1360"/>
      <c r="UXL188" s="1925"/>
      <c r="UXM188" s="955"/>
      <c r="UXN188" s="963"/>
      <c r="UXO188" s="2242"/>
      <c r="UXP188" s="1360"/>
      <c r="UXQ188" s="955"/>
      <c r="UXR188" s="1361"/>
      <c r="UXS188" s="1360"/>
      <c r="UXT188" s="1925"/>
      <c r="UXU188" s="955"/>
      <c r="UXV188" s="963"/>
      <c r="UXW188" s="2242"/>
      <c r="UXX188" s="1360"/>
      <c r="UXY188" s="955"/>
      <c r="UXZ188" s="1361"/>
      <c r="UYA188" s="1360"/>
      <c r="UYB188" s="1925"/>
      <c r="UYC188" s="955"/>
      <c r="UYD188" s="963"/>
      <c r="UYE188" s="2242"/>
      <c r="UYF188" s="1360"/>
      <c r="UYG188" s="955"/>
      <c r="UYH188" s="1361"/>
      <c r="UYI188" s="1360"/>
      <c r="UYJ188" s="1925"/>
      <c r="UYK188" s="955"/>
      <c r="UYL188" s="963"/>
      <c r="UYM188" s="2242"/>
      <c r="UYN188" s="1360"/>
      <c r="UYO188" s="955"/>
      <c r="UYP188" s="1361"/>
      <c r="UYQ188" s="1360"/>
      <c r="UYR188" s="1925"/>
      <c r="UYS188" s="955"/>
      <c r="UYT188" s="963"/>
      <c r="UYU188" s="2242"/>
      <c r="UYV188" s="1360"/>
      <c r="UYW188" s="955"/>
      <c r="UYX188" s="1361"/>
      <c r="UYY188" s="1360"/>
      <c r="UYZ188" s="1925"/>
      <c r="UZA188" s="955"/>
      <c r="UZB188" s="963"/>
      <c r="UZC188" s="2242"/>
      <c r="UZD188" s="1360"/>
      <c r="UZE188" s="955"/>
      <c r="UZF188" s="1361"/>
      <c r="UZG188" s="1360"/>
      <c r="UZH188" s="1925"/>
      <c r="UZI188" s="955"/>
      <c r="UZJ188" s="963"/>
      <c r="UZK188" s="2242"/>
      <c r="UZL188" s="1360"/>
      <c r="UZM188" s="955"/>
      <c r="UZN188" s="1361"/>
      <c r="UZO188" s="1360"/>
      <c r="UZP188" s="1925"/>
      <c r="UZQ188" s="955"/>
      <c r="UZR188" s="963"/>
      <c r="UZS188" s="2242"/>
      <c r="UZT188" s="1360"/>
      <c r="UZU188" s="955"/>
      <c r="UZV188" s="1361"/>
      <c r="UZW188" s="1360"/>
      <c r="UZX188" s="1925"/>
      <c r="UZY188" s="955"/>
      <c r="UZZ188" s="963"/>
      <c r="VAA188" s="2242"/>
      <c r="VAB188" s="1360"/>
      <c r="VAC188" s="955"/>
      <c r="VAD188" s="1361"/>
      <c r="VAE188" s="1360"/>
      <c r="VAF188" s="1925"/>
      <c r="VAG188" s="955"/>
      <c r="VAH188" s="963"/>
      <c r="VAI188" s="2242"/>
      <c r="VAJ188" s="1360"/>
      <c r="VAK188" s="955"/>
      <c r="VAL188" s="1361"/>
      <c r="VAM188" s="1360"/>
      <c r="VAN188" s="1925"/>
      <c r="VAO188" s="955"/>
      <c r="VAP188" s="963"/>
      <c r="VAQ188" s="2242"/>
      <c r="VAR188" s="1360"/>
      <c r="VAS188" s="955"/>
      <c r="VAT188" s="1361"/>
      <c r="VAU188" s="1360"/>
      <c r="VAV188" s="1925"/>
      <c r="VAW188" s="955"/>
      <c r="VAX188" s="963"/>
      <c r="VAY188" s="2242"/>
      <c r="VAZ188" s="1360"/>
      <c r="VBA188" s="955"/>
      <c r="VBB188" s="1361"/>
      <c r="VBC188" s="1360"/>
      <c r="VBD188" s="1925"/>
      <c r="VBE188" s="955"/>
      <c r="VBF188" s="963"/>
      <c r="VBG188" s="2242"/>
      <c r="VBH188" s="1360"/>
      <c r="VBI188" s="955"/>
      <c r="VBJ188" s="1361"/>
      <c r="VBK188" s="1360"/>
      <c r="VBL188" s="1925"/>
      <c r="VBM188" s="955"/>
      <c r="VBN188" s="963"/>
      <c r="VBO188" s="2242"/>
      <c r="VBP188" s="1360"/>
      <c r="VBQ188" s="955"/>
      <c r="VBR188" s="1361"/>
      <c r="VBS188" s="1360"/>
      <c r="VBT188" s="1925"/>
      <c r="VBU188" s="955"/>
      <c r="VBV188" s="963"/>
      <c r="VBW188" s="2242"/>
      <c r="VBX188" s="1360"/>
      <c r="VBY188" s="955"/>
      <c r="VBZ188" s="1361"/>
      <c r="VCA188" s="1360"/>
      <c r="VCB188" s="1925"/>
      <c r="VCC188" s="955"/>
      <c r="VCD188" s="963"/>
      <c r="VCE188" s="2242"/>
      <c r="VCF188" s="1360"/>
      <c r="VCG188" s="955"/>
      <c r="VCH188" s="1361"/>
      <c r="VCI188" s="1360"/>
      <c r="VCJ188" s="1925"/>
      <c r="VCK188" s="955"/>
      <c r="VCL188" s="963"/>
      <c r="VCM188" s="2242"/>
      <c r="VCN188" s="1360"/>
      <c r="VCO188" s="955"/>
      <c r="VCP188" s="1361"/>
      <c r="VCQ188" s="1360"/>
      <c r="VCR188" s="1925"/>
      <c r="VCS188" s="955"/>
      <c r="VCT188" s="963"/>
      <c r="VCU188" s="2242"/>
      <c r="VCV188" s="1360"/>
      <c r="VCW188" s="955"/>
      <c r="VCX188" s="1361"/>
      <c r="VCY188" s="1360"/>
      <c r="VCZ188" s="1925"/>
      <c r="VDA188" s="955"/>
      <c r="VDB188" s="963"/>
      <c r="VDC188" s="2242"/>
      <c r="VDD188" s="1360"/>
      <c r="VDE188" s="955"/>
      <c r="VDF188" s="1361"/>
      <c r="VDG188" s="1360"/>
      <c r="VDH188" s="1925"/>
      <c r="VDI188" s="955"/>
      <c r="VDJ188" s="963"/>
      <c r="VDK188" s="2242"/>
      <c r="VDL188" s="1360"/>
      <c r="VDM188" s="955"/>
      <c r="VDN188" s="1361"/>
      <c r="VDO188" s="1360"/>
      <c r="VDP188" s="1925"/>
      <c r="VDQ188" s="955"/>
      <c r="VDR188" s="963"/>
      <c r="VDS188" s="2242"/>
      <c r="VDT188" s="1360"/>
      <c r="VDU188" s="955"/>
      <c r="VDV188" s="1361"/>
      <c r="VDW188" s="1360"/>
      <c r="VDX188" s="1925"/>
      <c r="VDY188" s="955"/>
      <c r="VDZ188" s="963"/>
      <c r="VEA188" s="2242"/>
      <c r="VEB188" s="1360"/>
      <c r="VEC188" s="955"/>
      <c r="VED188" s="1361"/>
      <c r="VEE188" s="1360"/>
      <c r="VEF188" s="1925"/>
      <c r="VEG188" s="955"/>
      <c r="VEH188" s="963"/>
      <c r="VEI188" s="2242"/>
      <c r="VEJ188" s="1360"/>
      <c r="VEK188" s="955"/>
      <c r="VEL188" s="1361"/>
      <c r="VEM188" s="1360"/>
      <c r="VEN188" s="1925"/>
      <c r="VEO188" s="955"/>
      <c r="VEP188" s="963"/>
      <c r="VEQ188" s="2242"/>
      <c r="VER188" s="1360"/>
      <c r="VES188" s="955"/>
      <c r="VET188" s="1361"/>
      <c r="VEU188" s="1360"/>
      <c r="VEV188" s="1925"/>
      <c r="VEW188" s="955"/>
      <c r="VEX188" s="963"/>
      <c r="VEY188" s="2242"/>
      <c r="VEZ188" s="1360"/>
      <c r="VFA188" s="955"/>
      <c r="VFB188" s="1361"/>
      <c r="VFC188" s="1360"/>
      <c r="VFD188" s="1925"/>
      <c r="VFE188" s="955"/>
      <c r="VFF188" s="963"/>
      <c r="VFG188" s="2242"/>
      <c r="VFH188" s="1360"/>
      <c r="VFI188" s="955"/>
      <c r="VFJ188" s="1361"/>
      <c r="VFK188" s="1360"/>
      <c r="VFL188" s="1925"/>
      <c r="VFM188" s="955"/>
      <c r="VFN188" s="963"/>
      <c r="VFO188" s="2242"/>
      <c r="VFP188" s="1360"/>
      <c r="VFQ188" s="955"/>
      <c r="VFR188" s="1361"/>
      <c r="VFS188" s="1360"/>
      <c r="VFT188" s="1925"/>
      <c r="VFU188" s="955"/>
      <c r="VFV188" s="963"/>
      <c r="VFW188" s="2242"/>
      <c r="VFX188" s="1360"/>
      <c r="VFY188" s="955"/>
      <c r="VFZ188" s="1361"/>
      <c r="VGA188" s="1360"/>
      <c r="VGB188" s="1925"/>
      <c r="VGC188" s="955"/>
      <c r="VGD188" s="963"/>
      <c r="VGE188" s="2242"/>
      <c r="VGF188" s="1360"/>
      <c r="VGG188" s="955"/>
      <c r="VGH188" s="1361"/>
      <c r="VGI188" s="1360"/>
      <c r="VGJ188" s="1925"/>
      <c r="VGK188" s="955"/>
      <c r="VGL188" s="963"/>
      <c r="VGM188" s="2242"/>
      <c r="VGN188" s="1360"/>
      <c r="VGO188" s="955"/>
      <c r="VGP188" s="1361"/>
      <c r="VGQ188" s="1360"/>
      <c r="VGR188" s="1925"/>
      <c r="VGS188" s="955"/>
      <c r="VGT188" s="963"/>
      <c r="VGU188" s="2242"/>
      <c r="VGV188" s="1360"/>
      <c r="VGW188" s="955"/>
      <c r="VGX188" s="1361"/>
      <c r="VGY188" s="1360"/>
      <c r="VGZ188" s="1925"/>
      <c r="VHA188" s="955"/>
      <c r="VHB188" s="963"/>
      <c r="VHC188" s="2242"/>
      <c r="VHD188" s="1360"/>
      <c r="VHE188" s="955"/>
      <c r="VHF188" s="1361"/>
      <c r="VHG188" s="1360"/>
      <c r="VHH188" s="1925"/>
      <c r="VHI188" s="955"/>
      <c r="VHJ188" s="963"/>
      <c r="VHK188" s="2242"/>
      <c r="VHL188" s="1360"/>
      <c r="VHM188" s="955"/>
      <c r="VHN188" s="1361"/>
      <c r="VHO188" s="1360"/>
      <c r="VHP188" s="1925"/>
      <c r="VHQ188" s="955"/>
      <c r="VHR188" s="963"/>
      <c r="VHS188" s="2242"/>
      <c r="VHT188" s="1360"/>
      <c r="VHU188" s="955"/>
      <c r="VHV188" s="1361"/>
      <c r="VHW188" s="1360"/>
      <c r="VHX188" s="1925"/>
      <c r="VHY188" s="955"/>
      <c r="VHZ188" s="963"/>
      <c r="VIA188" s="2242"/>
      <c r="VIB188" s="1360"/>
      <c r="VIC188" s="955"/>
      <c r="VID188" s="1361"/>
      <c r="VIE188" s="1360"/>
      <c r="VIF188" s="1925"/>
      <c r="VIG188" s="955"/>
      <c r="VIH188" s="963"/>
      <c r="VII188" s="2242"/>
      <c r="VIJ188" s="1360"/>
      <c r="VIK188" s="955"/>
      <c r="VIL188" s="1361"/>
      <c r="VIM188" s="1360"/>
      <c r="VIN188" s="1925"/>
      <c r="VIO188" s="955"/>
      <c r="VIP188" s="963"/>
      <c r="VIQ188" s="2242"/>
      <c r="VIR188" s="1360"/>
      <c r="VIS188" s="955"/>
      <c r="VIT188" s="1361"/>
      <c r="VIU188" s="1360"/>
      <c r="VIV188" s="1925"/>
      <c r="VIW188" s="955"/>
      <c r="VIX188" s="963"/>
      <c r="VIY188" s="2242"/>
      <c r="VIZ188" s="1360"/>
      <c r="VJA188" s="955"/>
      <c r="VJB188" s="1361"/>
      <c r="VJC188" s="1360"/>
      <c r="VJD188" s="1925"/>
      <c r="VJE188" s="955"/>
      <c r="VJF188" s="963"/>
      <c r="VJG188" s="2242"/>
      <c r="VJH188" s="1360"/>
      <c r="VJI188" s="955"/>
      <c r="VJJ188" s="1361"/>
      <c r="VJK188" s="1360"/>
      <c r="VJL188" s="1925"/>
      <c r="VJM188" s="955"/>
      <c r="VJN188" s="963"/>
      <c r="VJO188" s="2242"/>
      <c r="VJP188" s="1360"/>
      <c r="VJQ188" s="955"/>
      <c r="VJR188" s="1361"/>
      <c r="VJS188" s="1360"/>
      <c r="VJT188" s="1925"/>
      <c r="VJU188" s="955"/>
      <c r="VJV188" s="963"/>
      <c r="VJW188" s="2242"/>
      <c r="VJX188" s="1360"/>
      <c r="VJY188" s="955"/>
      <c r="VJZ188" s="1361"/>
      <c r="VKA188" s="1360"/>
      <c r="VKB188" s="1925"/>
      <c r="VKC188" s="955"/>
      <c r="VKD188" s="963"/>
      <c r="VKE188" s="2242"/>
      <c r="VKF188" s="1360"/>
      <c r="VKG188" s="955"/>
      <c r="VKH188" s="1361"/>
      <c r="VKI188" s="1360"/>
      <c r="VKJ188" s="1925"/>
      <c r="VKK188" s="955"/>
      <c r="VKL188" s="963"/>
      <c r="VKM188" s="2242"/>
      <c r="VKN188" s="1360"/>
      <c r="VKO188" s="955"/>
      <c r="VKP188" s="1361"/>
      <c r="VKQ188" s="1360"/>
      <c r="VKR188" s="1925"/>
      <c r="VKS188" s="955"/>
      <c r="VKT188" s="963"/>
      <c r="VKU188" s="2242"/>
      <c r="VKV188" s="1360"/>
      <c r="VKW188" s="955"/>
      <c r="VKX188" s="1361"/>
      <c r="VKY188" s="1360"/>
      <c r="VKZ188" s="1925"/>
      <c r="VLA188" s="955"/>
      <c r="VLB188" s="963"/>
      <c r="VLC188" s="2242"/>
      <c r="VLD188" s="1360"/>
      <c r="VLE188" s="955"/>
      <c r="VLF188" s="1361"/>
      <c r="VLG188" s="1360"/>
      <c r="VLH188" s="1925"/>
      <c r="VLI188" s="955"/>
      <c r="VLJ188" s="963"/>
      <c r="VLK188" s="2242"/>
      <c r="VLL188" s="1360"/>
      <c r="VLM188" s="955"/>
      <c r="VLN188" s="1361"/>
      <c r="VLO188" s="1360"/>
      <c r="VLP188" s="1925"/>
      <c r="VLQ188" s="955"/>
      <c r="VLR188" s="963"/>
      <c r="VLS188" s="2242"/>
      <c r="VLT188" s="1360"/>
      <c r="VLU188" s="955"/>
      <c r="VLV188" s="1361"/>
      <c r="VLW188" s="1360"/>
      <c r="VLX188" s="1925"/>
      <c r="VLY188" s="955"/>
      <c r="VLZ188" s="963"/>
      <c r="VMA188" s="2242"/>
      <c r="VMB188" s="1360"/>
      <c r="VMC188" s="955"/>
      <c r="VMD188" s="1361"/>
      <c r="VME188" s="1360"/>
      <c r="VMF188" s="1925"/>
      <c r="VMG188" s="955"/>
      <c r="VMH188" s="963"/>
      <c r="VMI188" s="2242"/>
      <c r="VMJ188" s="1360"/>
      <c r="VMK188" s="955"/>
      <c r="VML188" s="1361"/>
      <c r="VMM188" s="1360"/>
      <c r="VMN188" s="1925"/>
      <c r="VMO188" s="955"/>
      <c r="VMP188" s="963"/>
      <c r="VMQ188" s="2242"/>
      <c r="VMR188" s="1360"/>
      <c r="VMS188" s="955"/>
      <c r="VMT188" s="1361"/>
      <c r="VMU188" s="1360"/>
      <c r="VMV188" s="1925"/>
      <c r="VMW188" s="955"/>
      <c r="VMX188" s="963"/>
      <c r="VMY188" s="2242"/>
      <c r="VMZ188" s="1360"/>
      <c r="VNA188" s="955"/>
      <c r="VNB188" s="1361"/>
      <c r="VNC188" s="1360"/>
      <c r="VND188" s="1925"/>
      <c r="VNE188" s="955"/>
      <c r="VNF188" s="963"/>
      <c r="VNG188" s="2242"/>
      <c r="VNH188" s="1360"/>
      <c r="VNI188" s="955"/>
      <c r="VNJ188" s="1361"/>
      <c r="VNK188" s="1360"/>
      <c r="VNL188" s="1925"/>
      <c r="VNM188" s="955"/>
      <c r="VNN188" s="963"/>
      <c r="VNO188" s="2242"/>
      <c r="VNP188" s="1360"/>
      <c r="VNQ188" s="955"/>
      <c r="VNR188" s="1361"/>
      <c r="VNS188" s="1360"/>
      <c r="VNT188" s="1925"/>
      <c r="VNU188" s="955"/>
      <c r="VNV188" s="963"/>
      <c r="VNW188" s="2242"/>
      <c r="VNX188" s="1360"/>
      <c r="VNY188" s="955"/>
      <c r="VNZ188" s="1361"/>
      <c r="VOA188" s="1360"/>
      <c r="VOB188" s="1925"/>
      <c r="VOC188" s="955"/>
      <c r="VOD188" s="963"/>
      <c r="VOE188" s="2242"/>
      <c r="VOF188" s="1360"/>
      <c r="VOG188" s="955"/>
      <c r="VOH188" s="1361"/>
      <c r="VOI188" s="1360"/>
      <c r="VOJ188" s="1925"/>
      <c r="VOK188" s="955"/>
      <c r="VOL188" s="963"/>
      <c r="VOM188" s="2242"/>
      <c r="VON188" s="1360"/>
      <c r="VOO188" s="955"/>
      <c r="VOP188" s="1361"/>
      <c r="VOQ188" s="1360"/>
      <c r="VOR188" s="1925"/>
      <c r="VOS188" s="955"/>
      <c r="VOT188" s="963"/>
      <c r="VOU188" s="2242"/>
      <c r="VOV188" s="1360"/>
      <c r="VOW188" s="955"/>
      <c r="VOX188" s="1361"/>
      <c r="VOY188" s="1360"/>
      <c r="VOZ188" s="1925"/>
      <c r="VPA188" s="955"/>
      <c r="VPB188" s="963"/>
      <c r="VPC188" s="2242"/>
      <c r="VPD188" s="1360"/>
      <c r="VPE188" s="955"/>
      <c r="VPF188" s="1361"/>
      <c r="VPG188" s="1360"/>
      <c r="VPH188" s="1925"/>
      <c r="VPI188" s="955"/>
      <c r="VPJ188" s="963"/>
      <c r="VPK188" s="2242"/>
      <c r="VPL188" s="1360"/>
      <c r="VPM188" s="955"/>
      <c r="VPN188" s="1361"/>
      <c r="VPO188" s="1360"/>
      <c r="VPP188" s="1925"/>
      <c r="VPQ188" s="955"/>
      <c r="VPR188" s="963"/>
      <c r="VPS188" s="2242"/>
      <c r="VPT188" s="1360"/>
      <c r="VPU188" s="955"/>
      <c r="VPV188" s="1361"/>
      <c r="VPW188" s="1360"/>
      <c r="VPX188" s="1925"/>
      <c r="VPY188" s="955"/>
      <c r="VPZ188" s="963"/>
      <c r="VQA188" s="2242"/>
      <c r="VQB188" s="1360"/>
      <c r="VQC188" s="955"/>
      <c r="VQD188" s="1361"/>
      <c r="VQE188" s="1360"/>
      <c r="VQF188" s="1925"/>
      <c r="VQG188" s="955"/>
      <c r="VQH188" s="963"/>
      <c r="VQI188" s="2242"/>
      <c r="VQJ188" s="1360"/>
      <c r="VQK188" s="955"/>
      <c r="VQL188" s="1361"/>
      <c r="VQM188" s="1360"/>
      <c r="VQN188" s="1925"/>
      <c r="VQO188" s="955"/>
      <c r="VQP188" s="963"/>
      <c r="VQQ188" s="2242"/>
      <c r="VQR188" s="1360"/>
      <c r="VQS188" s="955"/>
      <c r="VQT188" s="1361"/>
      <c r="VQU188" s="1360"/>
      <c r="VQV188" s="1925"/>
      <c r="VQW188" s="955"/>
      <c r="VQX188" s="963"/>
      <c r="VQY188" s="2242"/>
      <c r="VQZ188" s="1360"/>
      <c r="VRA188" s="955"/>
      <c r="VRB188" s="1361"/>
      <c r="VRC188" s="1360"/>
      <c r="VRD188" s="1925"/>
      <c r="VRE188" s="955"/>
      <c r="VRF188" s="963"/>
      <c r="VRG188" s="2242"/>
      <c r="VRH188" s="1360"/>
      <c r="VRI188" s="955"/>
      <c r="VRJ188" s="1361"/>
      <c r="VRK188" s="1360"/>
      <c r="VRL188" s="1925"/>
      <c r="VRM188" s="955"/>
      <c r="VRN188" s="963"/>
      <c r="VRO188" s="2242"/>
      <c r="VRP188" s="1360"/>
      <c r="VRQ188" s="955"/>
      <c r="VRR188" s="1361"/>
      <c r="VRS188" s="1360"/>
      <c r="VRT188" s="1925"/>
      <c r="VRU188" s="955"/>
      <c r="VRV188" s="963"/>
      <c r="VRW188" s="2242"/>
      <c r="VRX188" s="1360"/>
      <c r="VRY188" s="955"/>
      <c r="VRZ188" s="1361"/>
      <c r="VSA188" s="1360"/>
      <c r="VSB188" s="1925"/>
      <c r="VSC188" s="955"/>
      <c r="VSD188" s="963"/>
      <c r="VSE188" s="2242"/>
      <c r="VSF188" s="1360"/>
      <c r="VSG188" s="955"/>
      <c r="VSH188" s="1361"/>
      <c r="VSI188" s="1360"/>
      <c r="VSJ188" s="1925"/>
      <c r="VSK188" s="955"/>
      <c r="VSL188" s="963"/>
      <c r="VSM188" s="2242"/>
      <c r="VSN188" s="1360"/>
      <c r="VSO188" s="955"/>
      <c r="VSP188" s="1361"/>
      <c r="VSQ188" s="1360"/>
      <c r="VSR188" s="1925"/>
      <c r="VSS188" s="955"/>
      <c r="VST188" s="963"/>
      <c r="VSU188" s="2242"/>
      <c r="VSV188" s="1360"/>
      <c r="VSW188" s="955"/>
      <c r="VSX188" s="1361"/>
      <c r="VSY188" s="1360"/>
      <c r="VSZ188" s="1925"/>
      <c r="VTA188" s="955"/>
      <c r="VTB188" s="963"/>
      <c r="VTC188" s="2242"/>
      <c r="VTD188" s="1360"/>
      <c r="VTE188" s="955"/>
      <c r="VTF188" s="1361"/>
      <c r="VTG188" s="1360"/>
      <c r="VTH188" s="1925"/>
      <c r="VTI188" s="955"/>
      <c r="VTJ188" s="963"/>
      <c r="VTK188" s="2242"/>
      <c r="VTL188" s="1360"/>
      <c r="VTM188" s="955"/>
      <c r="VTN188" s="1361"/>
      <c r="VTO188" s="1360"/>
      <c r="VTP188" s="1925"/>
      <c r="VTQ188" s="955"/>
      <c r="VTR188" s="963"/>
      <c r="VTS188" s="2242"/>
      <c r="VTT188" s="1360"/>
      <c r="VTU188" s="955"/>
      <c r="VTV188" s="1361"/>
      <c r="VTW188" s="1360"/>
      <c r="VTX188" s="1925"/>
      <c r="VTY188" s="955"/>
      <c r="VTZ188" s="963"/>
      <c r="VUA188" s="2242"/>
      <c r="VUB188" s="1360"/>
      <c r="VUC188" s="955"/>
      <c r="VUD188" s="1361"/>
      <c r="VUE188" s="1360"/>
      <c r="VUF188" s="1925"/>
      <c r="VUG188" s="955"/>
      <c r="VUH188" s="963"/>
      <c r="VUI188" s="2242"/>
      <c r="VUJ188" s="1360"/>
      <c r="VUK188" s="955"/>
      <c r="VUL188" s="1361"/>
      <c r="VUM188" s="1360"/>
      <c r="VUN188" s="1925"/>
      <c r="VUO188" s="955"/>
      <c r="VUP188" s="963"/>
      <c r="VUQ188" s="2242"/>
      <c r="VUR188" s="1360"/>
      <c r="VUS188" s="955"/>
      <c r="VUT188" s="1361"/>
      <c r="VUU188" s="1360"/>
      <c r="VUV188" s="1925"/>
      <c r="VUW188" s="955"/>
      <c r="VUX188" s="963"/>
      <c r="VUY188" s="2242"/>
      <c r="VUZ188" s="1360"/>
      <c r="VVA188" s="955"/>
      <c r="VVB188" s="1361"/>
      <c r="VVC188" s="1360"/>
      <c r="VVD188" s="1925"/>
      <c r="VVE188" s="955"/>
      <c r="VVF188" s="963"/>
      <c r="VVG188" s="2242"/>
      <c r="VVH188" s="1360"/>
      <c r="VVI188" s="955"/>
      <c r="VVJ188" s="1361"/>
      <c r="VVK188" s="1360"/>
      <c r="VVL188" s="1925"/>
      <c r="VVM188" s="955"/>
      <c r="VVN188" s="963"/>
      <c r="VVO188" s="2242"/>
      <c r="VVP188" s="1360"/>
      <c r="VVQ188" s="955"/>
      <c r="VVR188" s="1361"/>
      <c r="VVS188" s="1360"/>
      <c r="VVT188" s="1925"/>
      <c r="VVU188" s="955"/>
      <c r="VVV188" s="963"/>
      <c r="VVW188" s="2242"/>
      <c r="VVX188" s="1360"/>
      <c r="VVY188" s="955"/>
      <c r="VVZ188" s="1361"/>
      <c r="VWA188" s="1360"/>
      <c r="VWB188" s="1925"/>
      <c r="VWC188" s="955"/>
      <c r="VWD188" s="963"/>
      <c r="VWE188" s="2242"/>
      <c r="VWF188" s="1360"/>
      <c r="VWG188" s="955"/>
      <c r="VWH188" s="1361"/>
      <c r="VWI188" s="1360"/>
      <c r="VWJ188" s="1925"/>
      <c r="VWK188" s="955"/>
      <c r="VWL188" s="963"/>
      <c r="VWM188" s="2242"/>
      <c r="VWN188" s="1360"/>
      <c r="VWO188" s="955"/>
      <c r="VWP188" s="1361"/>
      <c r="VWQ188" s="1360"/>
      <c r="VWR188" s="1925"/>
      <c r="VWS188" s="955"/>
      <c r="VWT188" s="963"/>
      <c r="VWU188" s="2242"/>
      <c r="VWV188" s="1360"/>
      <c r="VWW188" s="955"/>
      <c r="VWX188" s="1361"/>
      <c r="VWY188" s="1360"/>
      <c r="VWZ188" s="1925"/>
      <c r="VXA188" s="955"/>
      <c r="VXB188" s="963"/>
      <c r="VXC188" s="2242"/>
      <c r="VXD188" s="1360"/>
      <c r="VXE188" s="955"/>
      <c r="VXF188" s="1361"/>
      <c r="VXG188" s="1360"/>
      <c r="VXH188" s="1925"/>
      <c r="VXI188" s="955"/>
      <c r="VXJ188" s="963"/>
      <c r="VXK188" s="2242"/>
      <c r="VXL188" s="1360"/>
      <c r="VXM188" s="955"/>
      <c r="VXN188" s="1361"/>
      <c r="VXO188" s="1360"/>
      <c r="VXP188" s="1925"/>
      <c r="VXQ188" s="955"/>
      <c r="VXR188" s="963"/>
      <c r="VXS188" s="2242"/>
      <c r="VXT188" s="1360"/>
      <c r="VXU188" s="955"/>
      <c r="VXV188" s="1361"/>
      <c r="VXW188" s="1360"/>
      <c r="VXX188" s="1925"/>
      <c r="VXY188" s="955"/>
      <c r="VXZ188" s="963"/>
      <c r="VYA188" s="2242"/>
      <c r="VYB188" s="1360"/>
      <c r="VYC188" s="955"/>
      <c r="VYD188" s="1361"/>
      <c r="VYE188" s="1360"/>
      <c r="VYF188" s="1925"/>
      <c r="VYG188" s="955"/>
      <c r="VYH188" s="963"/>
      <c r="VYI188" s="2242"/>
      <c r="VYJ188" s="1360"/>
      <c r="VYK188" s="955"/>
      <c r="VYL188" s="1361"/>
      <c r="VYM188" s="1360"/>
      <c r="VYN188" s="1925"/>
      <c r="VYO188" s="955"/>
      <c r="VYP188" s="963"/>
      <c r="VYQ188" s="2242"/>
      <c r="VYR188" s="1360"/>
      <c r="VYS188" s="955"/>
      <c r="VYT188" s="1361"/>
      <c r="VYU188" s="1360"/>
      <c r="VYV188" s="1925"/>
      <c r="VYW188" s="955"/>
      <c r="VYX188" s="963"/>
      <c r="VYY188" s="2242"/>
      <c r="VYZ188" s="1360"/>
      <c r="VZA188" s="955"/>
      <c r="VZB188" s="1361"/>
      <c r="VZC188" s="1360"/>
      <c r="VZD188" s="1925"/>
      <c r="VZE188" s="955"/>
      <c r="VZF188" s="963"/>
      <c r="VZG188" s="2242"/>
      <c r="VZH188" s="1360"/>
      <c r="VZI188" s="955"/>
      <c r="VZJ188" s="1361"/>
      <c r="VZK188" s="1360"/>
      <c r="VZL188" s="1925"/>
      <c r="VZM188" s="955"/>
      <c r="VZN188" s="963"/>
      <c r="VZO188" s="2242"/>
      <c r="VZP188" s="1360"/>
      <c r="VZQ188" s="955"/>
      <c r="VZR188" s="1361"/>
      <c r="VZS188" s="1360"/>
      <c r="VZT188" s="1925"/>
      <c r="VZU188" s="955"/>
      <c r="VZV188" s="963"/>
      <c r="VZW188" s="2242"/>
      <c r="VZX188" s="1360"/>
      <c r="VZY188" s="955"/>
      <c r="VZZ188" s="1361"/>
      <c r="WAA188" s="1360"/>
      <c r="WAB188" s="1925"/>
      <c r="WAC188" s="955"/>
      <c r="WAD188" s="963"/>
      <c r="WAE188" s="2242"/>
      <c r="WAF188" s="1360"/>
      <c r="WAG188" s="955"/>
      <c r="WAH188" s="1361"/>
      <c r="WAI188" s="1360"/>
      <c r="WAJ188" s="1925"/>
      <c r="WAK188" s="955"/>
      <c r="WAL188" s="963"/>
      <c r="WAM188" s="2242"/>
      <c r="WAN188" s="1360"/>
      <c r="WAO188" s="955"/>
      <c r="WAP188" s="1361"/>
      <c r="WAQ188" s="1360"/>
      <c r="WAR188" s="1925"/>
      <c r="WAS188" s="955"/>
      <c r="WAT188" s="963"/>
      <c r="WAU188" s="2242"/>
      <c r="WAV188" s="1360"/>
      <c r="WAW188" s="955"/>
      <c r="WAX188" s="1361"/>
      <c r="WAY188" s="1360"/>
      <c r="WAZ188" s="1925"/>
      <c r="WBA188" s="955"/>
      <c r="WBB188" s="963"/>
      <c r="WBC188" s="2242"/>
      <c r="WBD188" s="1360"/>
      <c r="WBE188" s="955"/>
      <c r="WBF188" s="1361"/>
      <c r="WBG188" s="1360"/>
      <c r="WBH188" s="1925"/>
      <c r="WBI188" s="955"/>
      <c r="WBJ188" s="963"/>
      <c r="WBK188" s="2242"/>
      <c r="WBL188" s="1360"/>
      <c r="WBM188" s="955"/>
      <c r="WBN188" s="1361"/>
      <c r="WBO188" s="1360"/>
      <c r="WBP188" s="1925"/>
      <c r="WBQ188" s="955"/>
      <c r="WBR188" s="963"/>
      <c r="WBS188" s="2242"/>
      <c r="WBT188" s="1360"/>
      <c r="WBU188" s="955"/>
      <c r="WBV188" s="1361"/>
      <c r="WBW188" s="1360"/>
      <c r="WBX188" s="1925"/>
      <c r="WBY188" s="955"/>
      <c r="WBZ188" s="963"/>
      <c r="WCA188" s="2242"/>
      <c r="WCB188" s="1360"/>
      <c r="WCC188" s="955"/>
      <c r="WCD188" s="1361"/>
      <c r="WCE188" s="1360"/>
      <c r="WCF188" s="1925"/>
      <c r="WCG188" s="955"/>
      <c r="WCH188" s="963"/>
      <c r="WCI188" s="2242"/>
      <c r="WCJ188" s="1360"/>
      <c r="WCK188" s="955"/>
      <c r="WCL188" s="1361"/>
      <c r="WCM188" s="1360"/>
      <c r="WCN188" s="1925"/>
      <c r="WCO188" s="955"/>
      <c r="WCP188" s="963"/>
      <c r="WCQ188" s="2242"/>
      <c r="WCR188" s="1360"/>
      <c r="WCS188" s="955"/>
      <c r="WCT188" s="1361"/>
      <c r="WCU188" s="1360"/>
      <c r="WCV188" s="1925"/>
      <c r="WCW188" s="955"/>
      <c r="WCX188" s="963"/>
      <c r="WCY188" s="2242"/>
      <c r="WCZ188" s="1360"/>
      <c r="WDA188" s="955"/>
      <c r="WDB188" s="1361"/>
      <c r="WDC188" s="1360"/>
      <c r="WDD188" s="1925"/>
      <c r="WDE188" s="955"/>
      <c r="WDF188" s="963"/>
      <c r="WDG188" s="2242"/>
      <c r="WDH188" s="1360"/>
      <c r="WDI188" s="955"/>
      <c r="WDJ188" s="1361"/>
      <c r="WDK188" s="1360"/>
      <c r="WDL188" s="1925"/>
      <c r="WDM188" s="955"/>
      <c r="WDN188" s="963"/>
      <c r="WDO188" s="2242"/>
      <c r="WDP188" s="1360"/>
      <c r="WDQ188" s="955"/>
      <c r="WDR188" s="1361"/>
      <c r="WDS188" s="1360"/>
      <c r="WDT188" s="1925"/>
      <c r="WDU188" s="955"/>
      <c r="WDV188" s="963"/>
      <c r="WDW188" s="2242"/>
      <c r="WDX188" s="1360"/>
      <c r="WDY188" s="955"/>
      <c r="WDZ188" s="1361"/>
      <c r="WEA188" s="1360"/>
      <c r="WEB188" s="1925"/>
      <c r="WEC188" s="955"/>
      <c r="WED188" s="963"/>
      <c r="WEE188" s="2242"/>
      <c r="WEF188" s="1360"/>
      <c r="WEG188" s="955"/>
      <c r="WEH188" s="1361"/>
      <c r="WEI188" s="1360"/>
      <c r="WEJ188" s="1925"/>
      <c r="WEK188" s="955"/>
      <c r="WEL188" s="963"/>
      <c r="WEM188" s="2242"/>
      <c r="WEN188" s="1360"/>
      <c r="WEO188" s="955"/>
      <c r="WEP188" s="1361"/>
      <c r="WEQ188" s="1360"/>
      <c r="WER188" s="1925"/>
      <c r="WES188" s="955"/>
      <c r="WET188" s="963"/>
      <c r="WEU188" s="2242"/>
      <c r="WEV188" s="1360"/>
      <c r="WEW188" s="955"/>
      <c r="WEX188" s="1361"/>
      <c r="WEY188" s="1360"/>
      <c r="WEZ188" s="1925"/>
      <c r="WFA188" s="955"/>
      <c r="WFB188" s="963"/>
      <c r="WFC188" s="2242"/>
      <c r="WFD188" s="1360"/>
      <c r="WFE188" s="955"/>
      <c r="WFF188" s="1361"/>
      <c r="WFG188" s="1360"/>
      <c r="WFH188" s="1925"/>
      <c r="WFI188" s="955"/>
      <c r="WFJ188" s="963"/>
      <c r="WFK188" s="2242"/>
      <c r="WFL188" s="1360"/>
      <c r="WFM188" s="955"/>
      <c r="WFN188" s="1361"/>
      <c r="WFO188" s="1360"/>
      <c r="WFP188" s="1925"/>
      <c r="WFQ188" s="955"/>
      <c r="WFR188" s="963"/>
      <c r="WFS188" s="2242"/>
      <c r="WFT188" s="1360"/>
      <c r="WFU188" s="955"/>
      <c r="WFV188" s="1361"/>
      <c r="WFW188" s="1360"/>
      <c r="WFX188" s="1925"/>
      <c r="WFY188" s="955"/>
      <c r="WFZ188" s="963"/>
      <c r="WGA188" s="2242"/>
      <c r="WGB188" s="1360"/>
      <c r="WGC188" s="955"/>
      <c r="WGD188" s="1361"/>
      <c r="WGE188" s="1360"/>
      <c r="WGF188" s="1925"/>
      <c r="WGG188" s="955"/>
      <c r="WGH188" s="963"/>
      <c r="WGI188" s="2242"/>
      <c r="WGJ188" s="1360"/>
      <c r="WGK188" s="955"/>
      <c r="WGL188" s="1361"/>
      <c r="WGM188" s="1360"/>
      <c r="WGN188" s="1925"/>
      <c r="WGO188" s="955"/>
      <c r="WGP188" s="963"/>
      <c r="WGQ188" s="2242"/>
      <c r="WGR188" s="1360"/>
      <c r="WGS188" s="955"/>
      <c r="WGT188" s="1361"/>
      <c r="WGU188" s="1360"/>
      <c r="WGV188" s="1925"/>
      <c r="WGW188" s="955"/>
      <c r="WGX188" s="963"/>
      <c r="WGY188" s="2242"/>
      <c r="WGZ188" s="1360"/>
      <c r="WHA188" s="955"/>
      <c r="WHB188" s="1361"/>
      <c r="WHC188" s="1360"/>
      <c r="WHD188" s="1925"/>
      <c r="WHE188" s="955"/>
      <c r="WHF188" s="963"/>
      <c r="WHG188" s="2242"/>
      <c r="WHH188" s="1360"/>
      <c r="WHI188" s="955"/>
      <c r="WHJ188" s="1361"/>
      <c r="WHK188" s="1360"/>
      <c r="WHL188" s="1925"/>
      <c r="WHM188" s="955"/>
      <c r="WHN188" s="963"/>
      <c r="WHO188" s="2242"/>
      <c r="WHP188" s="1360"/>
      <c r="WHQ188" s="955"/>
      <c r="WHR188" s="1361"/>
      <c r="WHS188" s="1360"/>
      <c r="WHT188" s="1925"/>
      <c r="WHU188" s="955"/>
      <c r="WHV188" s="963"/>
      <c r="WHW188" s="2242"/>
      <c r="WHX188" s="1360"/>
      <c r="WHY188" s="955"/>
      <c r="WHZ188" s="1361"/>
      <c r="WIA188" s="1360"/>
      <c r="WIB188" s="1925"/>
      <c r="WIC188" s="955"/>
      <c r="WID188" s="963"/>
      <c r="WIE188" s="2242"/>
      <c r="WIF188" s="1360"/>
      <c r="WIG188" s="955"/>
      <c r="WIH188" s="1361"/>
      <c r="WII188" s="1360"/>
      <c r="WIJ188" s="1925"/>
      <c r="WIK188" s="955"/>
      <c r="WIL188" s="963"/>
      <c r="WIM188" s="2242"/>
      <c r="WIN188" s="1360"/>
      <c r="WIO188" s="955"/>
      <c r="WIP188" s="1361"/>
      <c r="WIQ188" s="1360"/>
      <c r="WIR188" s="1925"/>
      <c r="WIS188" s="955"/>
      <c r="WIT188" s="963"/>
      <c r="WIU188" s="2242"/>
      <c r="WIV188" s="1360"/>
      <c r="WIW188" s="955"/>
      <c r="WIX188" s="1361"/>
      <c r="WIY188" s="1360"/>
      <c r="WIZ188" s="1925"/>
      <c r="WJA188" s="955"/>
      <c r="WJB188" s="963"/>
      <c r="WJC188" s="2242"/>
      <c r="WJD188" s="1360"/>
      <c r="WJE188" s="955"/>
      <c r="WJF188" s="1361"/>
      <c r="WJG188" s="1360"/>
      <c r="WJH188" s="1925"/>
      <c r="WJI188" s="955"/>
      <c r="WJJ188" s="963"/>
      <c r="WJK188" s="2242"/>
      <c r="WJL188" s="1360"/>
      <c r="WJM188" s="955"/>
      <c r="WJN188" s="1361"/>
      <c r="WJO188" s="1360"/>
      <c r="WJP188" s="1925"/>
      <c r="WJQ188" s="955"/>
      <c r="WJR188" s="963"/>
      <c r="WJS188" s="2242"/>
      <c r="WJT188" s="1360"/>
      <c r="WJU188" s="955"/>
      <c r="WJV188" s="1361"/>
      <c r="WJW188" s="1360"/>
      <c r="WJX188" s="1925"/>
      <c r="WJY188" s="955"/>
      <c r="WJZ188" s="963"/>
      <c r="WKA188" s="2242"/>
      <c r="WKB188" s="1360"/>
      <c r="WKC188" s="955"/>
      <c r="WKD188" s="1361"/>
      <c r="WKE188" s="1360"/>
      <c r="WKF188" s="1925"/>
      <c r="WKG188" s="955"/>
      <c r="WKH188" s="963"/>
      <c r="WKI188" s="2242"/>
      <c r="WKJ188" s="1360"/>
      <c r="WKK188" s="955"/>
      <c r="WKL188" s="1361"/>
      <c r="WKM188" s="1360"/>
      <c r="WKN188" s="1925"/>
      <c r="WKO188" s="955"/>
      <c r="WKP188" s="963"/>
      <c r="WKQ188" s="2242"/>
      <c r="WKR188" s="1360"/>
      <c r="WKS188" s="955"/>
      <c r="WKT188" s="1361"/>
      <c r="WKU188" s="1360"/>
      <c r="WKV188" s="1925"/>
      <c r="WKW188" s="955"/>
      <c r="WKX188" s="963"/>
      <c r="WKY188" s="2242"/>
      <c r="WKZ188" s="1360"/>
      <c r="WLA188" s="955"/>
      <c r="WLB188" s="1361"/>
      <c r="WLC188" s="1360"/>
      <c r="WLD188" s="1925"/>
      <c r="WLE188" s="955"/>
      <c r="WLF188" s="963"/>
      <c r="WLG188" s="2242"/>
      <c r="WLH188" s="1360"/>
      <c r="WLI188" s="955"/>
      <c r="WLJ188" s="1361"/>
      <c r="WLK188" s="1360"/>
      <c r="WLL188" s="1925"/>
      <c r="WLM188" s="955"/>
      <c r="WLN188" s="963"/>
      <c r="WLO188" s="2242"/>
      <c r="WLP188" s="1360"/>
      <c r="WLQ188" s="955"/>
      <c r="WLR188" s="1361"/>
      <c r="WLS188" s="1360"/>
      <c r="WLT188" s="1925"/>
      <c r="WLU188" s="955"/>
      <c r="WLV188" s="963"/>
      <c r="WLW188" s="2242"/>
      <c r="WLX188" s="1360"/>
      <c r="WLY188" s="955"/>
      <c r="WLZ188" s="1361"/>
      <c r="WMA188" s="1360"/>
      <c r="WMB188" s="1925"/>
      <c r="WMC188" s="955"/>
      <c r="WMD188" s="963"/>
      <c r="WME188" s="2242"/>
      <c r="WMF188" s="1360"/>
      <c r="WMG188" s="955"/>
      <c r="WMH188" s="1361"/>
      <c r="WMI188" s="1360"/>
      <c r="WMJ188" s="1925"/>
      <c r="WMK188" s="955"/>
      <c r="WML188" s="963"/>
      <c r="WMM188" s="2242"/>
      <c r="WMN188" s="1360"/>
      <c r="WMO188" s="955"/>
      <c r="WMP188" s="1361"/>
      <c r="WMQ188" s="1360"/>
      <c r="WMR188" s="1925"/>
      <c r="WMS188" s="955"/>
      <c r="WMT188" s="963"/>
      <c r="WMU188" s="2242"/>
      <c r="WMV188" s="1360"/>
      <c r="WMW188" s="955"/>
      <c r="WMX188" s="1361"/>
      <c r="WMY188" s="1360"/>
      <c r="WMZ188" s="1925"/>
      <c r="WNA188" s="955"/>
      <c r="WNB188" s="963"/>
      <c r="WNC188" s="2242"/>
      <c r="WND188" s="1360"/>
      <c r="WNE188" s="955"/>
      <c r="WNF188" s="1361"/>
      <c r="WNG188" s="1360"/>
      <c r="WNH188" s="1925"/>
      <c r="WNI188" s="955"/>
      <c r="WNJ188" s="963"/>
      <c r="WNK188" s="2242"/>
      <c r="WNL188" s="1360"/>
      <c r="WNM188" s="955"/>
      <c r="WNN188" s="1361"/>
      <c r="WNO188" s="1360"/>
      <c r="WNP188" s="1925"/>
      <c r="WNQ188" s="955"/>
      <c r="WNR188" s="963"/>
      <c r="WNS188" s="2242"/>
      <c r="WNT188" s="1360"/>
      <c r="WNU188" s="955"/>
      <c r="WNV188" s="1361"/>
      <c r="WNW188" s="1360"/>
      <c r="WNX188" s="1925"/>
      <c r="WNY188" s="955"/>
      <c r="WNZ188" s="963"/>
      <c r="WOA188" s="2242"/>
      <c r="WOB188" s="1360"/>
      <c r="WOC188" s="955"/>
      <c r="WOD188" s="1361"/>
      <c r="WOE188" s="1360"/>
      <c r="WOF188" s="1925"/>
      <c r="WOG188" s="955"/>
      <c r="WOH188" s="963"/>
      <c r="WOI188" s="2242"/>
      <c r="WOJ188" s="1360"/>
      <c r="WOK188" s="955"/>
      <c r="WOL188" s="1361"/>
      <c r="WOM188" s="1360"/>
      <c r="WON188" s="1925"/>
      <c r="WOO188" s="955"/>
      <c r="WOP188" s="963"/>
      <c r="WOQ188" s="2242"/>
      <c r="WOR188" s="1360"/>
      <c r="WOS188" s="955"/>
      <c r="WOT188" s="1361"/>
      <c r="WOU188" s="1360"/>
      <c r="WOV188" s="1925"/>
      <c r="WOW188" s="955"/>
      <c r="WOX188" s="963"/>
      <c r="WOY188" s="2242"/>
      <c r="WOZ188" s="1360"/>
      <c r="WPA188" s="955"/>
      <c r="WPB188" s="1361"/>
      <c r="WPC188" s="1360"/>
      <c r="WPD188" s="1925"/>
      <c r="WPE188" s="955"/>
      <c r="WPF188" s="963"/>
      <c r="WPG188" s="2242"/>
      <c r="WPH188" s="1360"/>
      <c r="WPI188" s="955"/>
      <c r="WPJ188" s="1361"/>
      <c r="WPK188" s="1360"/>
      <c r="WPL188" s="1925"/>
      <c r="WPM188" s="955"/>
      <c r="WPN188" s="963"/>
      <c r="WPO188" s="2242"/>
      <c r="WPP188" s="1360"/>
      <c r="WPQ188" s="955"/>
      <c r="WPR188" s="1361"/>
      <c r="WPS188" s="1360"/>
      <c r="WPT188" s="1925"/>
      <c r="WPU188" s="955"/>
      <c r="WPV188" s="963"/>
      <c r="WPW188" s="2242"/>
      <c r="WPX188" s="1360"/>
      <c r="WPY188" s="955"/>
      <c r="WPZ188" s="1361"/>
      <c r="WQA188" s="1360"/>
      <c r="WQB188" s="1925"/>
      <c r="WQC188" s="955"/>
      <c r="WQD188" s="963"/>
      <c r="WQE188" s="2242"/>
      <c r="WQF188" s="1360"/>
      <c r="WQG188" s="955"/>
      <c r="WQH188" s="1361"/>
      <c r="WQI188" s="1360"/>
      <c r="WQJ188" s="1925"/>
      <c r="WQK188" s="955"/>
      <c r="WQL188" s="963"/>
      <c r="WQM188" s="2242"/>
      <c r="WQN188" s="1360"/>
      <c r="WQO188" s="955"/>
      <c r="WQP188" s="1361"/>
      <c r="WQQ188" s="1360"/>
      <c r="WQR188" s="1925"/>
      <c r="WQS188" s="955"/>
      <c r="WQT188" s="963"/>
      <c r="WQU188" s="2242"/>
      <c r="WQV188" s="1360"/>
      <c r="WQW188" s="955"/>
      <c r="WQX188" s="1361"/>
      <c r="WQY188" s="1360"/>
      <c r="WQZ188" s="1925"/>
      <c r="WRA188" s="955"/>
      <c r="WRB188" s="963"/>
      <c r="WRC188" s="2242"/>
      <c r="WRD188" s="1360"/>
      <c r="WRE188" s="955"/>
      <c r="WRF188" s="1361"/>
      <c r="WRG188" s="1360"/>
      <c r="WRH188" s="1925"/>
      <c r="WRI188" s="955"/>
      <c r="WRJ188" s="963"/>
      <c r="WRK188" s="2242"/>
      <c r="WRL188" s="1360"/>
      <c r="WRM188" s="955"/>
      <c r="WRN188" s="1361"/>
      <c r="WRO188" s="1360"/>
      <c r="WRP188" s="1925"/>
      <c r="WRQ188" s="955"/>
      <c r="WRR188" s="963"/>
      <c r="WRS188" s="2242"/>
      <c r="WRT188" s="1360"/>
      <c r="WRU188" s="955"/>
      <c r="WRV188" s="1361"/>
      <c r="WRW188" s="1360"/>
      <c r="WRX188" s="1925"/>
      <c r="WRY188" s="955"/>
      <c r="WRZ188" s="963"/>
      <c r="WSA188" s="2242"/>
      <c r="WSB188" s="1360"/>
      <c r="WSC188" s="955"/>
      <c r="WSD188" s="1361"/>
      <c r="WSE188" s="1360"/>
      <c r="WSF188" s="1925"/>
      <c r="WSG188" s="955"/>
      <c r="WSH188" s="963"/>
      <c r="WSI188" s="2242"/>
      <c r="WSJ188" s="1360"/>
      <c r="WSK188" s="955"/>
      <c r="WSL188" s="1361"/>
      <c r="WSM188" s="1360"/>
      <c r="WSN188" s="1925"/>
      <c r="WSO188" s="955"/>
      <c r="WSP188" s="963"/>
      <c r="WSQ188" s="2242"/>
      <c r="WSR188" s="1360"/>
      <c r="WSS188" s="955"/>
      <c r="WST188" s="1361"/>
      <c r="WSU188" s="1360"/>
      <c r="WSV188" s="1925"/>
      <c r="WSW188" s="955"/>
      <c r="WSX188" s="963"/>
      <c r="WSY188" s="2242"/>
      <c r="WSZ188" s="1360"/>
      <c r="WTA188" s="955"/>
      <c r="WTB188" s="1361"/>
      <c r="WTC188" s="1360"/>
      <c r="WTD188" s="1925"/>
      <c r="WTE188" s="955"/>
      <c r="WTF188" s="963"/>
      <c r="WTG188" s="2242"/>
      <c r="WTH188" s="1360"/>
      <c r="WTI188" s="955"/>
      <c r="WTJ188" s="1361"/>
      <c r="WTK188" s="1360"/>
      <c r="WTL188" s="1925"/>
      <c r="WTM188" s="955"/>
      <c r="WTN188" s="963"/>
      <c r="WTO188" s="2242"/>
      <c r="WTP188" s="1360"/>
      <c r="WTQ188" s="955"/>
      <c r="WTR188" s="1361"/>
      <c r="WTS188" s="1360"/>
      <c r="WTT188" s="1925"/>
      <c r="WTU188" s="955"/>
      <c r="WTV188" s="963"/>
      <c r="WTW188" s="2242"/>
      <c r="WTX188" s="1360"/>
      <c r="WTY188" s="955"/>
      <c r="WTZ188" s="1361"/>
      <c r="WUA188" s="1360"/>
      <c r="WUB188" s="1925"/>
      <c r="WUC188" s="955"/>
      <c r="WUD188" s="963"/>
      <c r="WUE188" s="2242"/>
      <c r="WUF188" s="1360"/>
      <c r="WUG188" s="955"/>
      <c r="WUH188" s="1361"/>
      <c r="WUI188" s="1360"/>
      <c r="WUJ188" s="1925"/>
      <c r="WUK188" s="955"/>
      <c r="WUL188" s="963"/>
      <c r="WUM188" s="2242"/>
      <c r="WUN188" s="1360"/>
      <c r="WUO188" s="955"/>
      <c r="WUP188" s="1361"/>
      <c r="WUQ188" s="1360"/>
      <c r="WUR188" s="1925"/>
      <c r="WUS188" s="955"/>
      <c r="WUT188" s="963"/>
      <c r="WUU188" s="2242"/>
      <c r="WUV188" s="1360"/>
      <c r="WUW188" s="955"/>
      <c r="WUX188" s="1361"/>
      <c r="WUY188" s="1360"/>
      <c r="WUZ188" s="1925"/>
      <c r="WVA188" s="955"/>
      <c r="WVB188" s="963"/>
      <c r="WVC188" s="2242"/>
      <c r="WVD188" s="1360"/>
      <c r="WVE188" s="955"/>
      <c r="WVF188" s="1361"/>
      <c r="WVG188" s="1360"/>
      <c r="WVH188" s="1925"/>
      <c r="WVI188" s="955"/>
      <c r="WVJ188" s="963"/>
      <c r="WVK188" s="2242"/>
      <c r="WVL188" s="1360"/>
      <c r="WVM188" s="955"/>
      <c r="WVN188" s="1361"/>
      <c r="WVO188" s="1360"/>
      <c r="WVP188" s="1925"/>
      <c r="WVQ188" s="955"/>
      <c r="WVR188" s="963"/>
      <c r="WVS188" s="2242"/>
      <c r="WVT188" s="1360"/>
      <c r="WVU188" s="955"/>
      <c r="WVV188" s="1361"/>
      <c r="WVW188" s="1360"/>
      <c r="WVX188" s="1925"/>
      <c r="WVY188" s="955"/>
      <c r="WVZ188" s="963"/>
      <c r="WWA188" s="2242"/>
      <c r="WWB188" s="1360"/>
      <c r="WWC188" s="955"/>
      <c r="WWD188" s="1361"/>
      <c r="WWE188" s="1360"/>
      <c r="WWF188" s="1925"/>
      <c r="WWG188" s="955"/>
      <c r="WWH188" s="963"/>
      <c r="WWI188" s="2242"/>
      <c r="WWJ188" s="1360"/>
      <c r="WWK188" s="955"/>
      <c r="WWL188" s="1361"/>
      <c r="WWM188" s="1360"/>
      <c r="WWN188" s="1925"/>
      <c r="WWO188" s="955"/>
      <c r="WWP188" s="963"/>
      <c r="WWQ188" s="2242"/>
      <c r="WWR188" s="1360"/>
      <c r="WWS188" s="955"/>
      <c r="WWT188" s="1361"/>
      <c r="WWU188" s="1360"/>
      <c r="WWV188" s="1925"/>
      <c r="WWW188" s="955"/>
      <c r="WWX188" s="963"/>
      <c r="WWY188" s="2242"/>
      <c r="WWZ188" s="1360"/>
      <c r="WXA188" s="955"/>
      <c r="WXB188" s="1361"/>
      <c r="WXC188" s="1360"/>
      <c r="WXD188" s="1925"/>
      <c r="WXE188" s="955"/>
      <c r="WXF188" s="963"/>
      <c r="WXG188" s="2242"/>
      <c r="WXH188" s="1360"/>
      <c r="WXI188" s="955"/>
      <c r="WXJ188" s="1361"/>
      <c r="WXK188" s="1360"/>
      <c r="WXL188" s="1925"/>
      <c r="WXM188" s="955"/>
      <c r="WXN188" s="963"/>
      <c r="WXO188" s="2242"/>
      <c r="WXP188" s="1360"/>
      <c r="WXQ188" s="955"/>
      <c r="WXR188" s="1361"/>
      <c r="WXS188" s="1360"/>
      <c r="WXT188" s="1925"/>
      <c r="WXU188" s="955"/>
      <c r="WXV188" s="963"/>
      <c r="WXW188" s="2242"/>
      <c r="WXX188" s="1360"/>
      <c r="WXY188" s="955"/>
      <c r="WXZ188" s="1361"/>
      <c r="WYA188" s="1360"/>
      <c r="WYB188" s="1925"/>
      <c r="WYC188" s="955"/>
      <c r="WYD188" s="963"/>
      <c r="WYE188" s="2242"/>
      <c r="WYF188" s="1360"/>
      <c r="WYG188" s="955"/>
      <c r="WYH188" s="1361"/>
      <c r="WYI188" s="1360"/>
      <c r="WYJ188" s="1925"/>
      <c r="WYK188" s="955"/>
      <c r="WYL188" s="963"/>
      <c r="WYM188" s="2242"/>
      <c r="WYN188" s="1360"/>
      <c r="WYO188" s="955"/>
      <c r="WYP188" s="1361"/>
      <c r="WYQ188" s="1360"/>
      <c r="WYR188" s="1925"/>
      <c r="WYS188" s="955"/>
      <c r="WYT188" s="963"/>
      <c r="WYU188" s="2242"/>
      <c r="WYV188" s="1360"/>
      <c r="WYW188" s="955"/>
      <c r="WYX188" s="1361"/>
      <c r="WYY188" s="1360"/>
      <c r="WYZ188" s="1925"/>
      <c r="WZA188" s="955"/>
      <c r="WZB188" s="963"/>
      <c r="WZC188" s="2242"/>
      <c r="WZD188" s="1360"/>
      <c r="WZE188" s="955"/>
      <c r="WZF188" s="1361"/>
      <c r="WZG188" s="1360"/>
      <c r="WZH188" s="1925"/>
      <c r="WZI188" s="955"/>
      <c r="WZJ188" s="963"/>
      <c r="WZK188" s="2242"/>
      <c r="WZL188" s="1360"/>
      <c r="WZM188" s="955"/>
      <c r="WZN188" s="1361"/>
      <c r="WZO188" s="1360"/>
      <c r="WZP188" s="1925"/>
      <c r="WZQ188" s="955"/>
      <c r="WZR188" s="963"/>
      <c r="WZS188" s="2242"/>
      <c r="WZT188" s="1360"/>
      <c r="WZU188" s="955"/>
      <c r="WZV188" s="1361"/>
      <c r="WZW188" s="1360"/>
      <c r="WZX188" s="1925"/>
      <c r="WZY188" s="955"/>
      <c r="WZZ188" s="963"/>
      <c r="XAA188" s="2242"/>
      <c r="XAB188" s="1360"/>
      <c r="XAC188" s="955"/>
      <c r="XAD188" s="1361"/>
      <c r="XAE188" s="1360"/>
      <c r="XAF188" s="1925"/>
      <c r="XAG188" s="955"/>
      <c r="XAH188" s="963"/>
      <c r="XAI188" s="2242"/>
      <c r="XAJ188" s="1360"/>
      <c r="XAK188" s="955"/>
      <c r="XAL188" s="1361"/>
      <c r="XAM188" s="1360"/>
      <c r="XAN188" s="1925"/>
      <c r="XAO188" s="955"/>
      <c r="XAP188" s="963"/>
      <c r="XAQ188" s="2242"/>
      <c r="XAR188" s="1360"/>
      <c r="XAS188" s="955"/>
      <c r="XAT188" s="1361"/>
      <c r="XAU188" s="1360"/>
      <c r="XAV188" s="1925"/>
      <c r="XAW188" s="955"/>
      <c r="XAX188" s="963"/>
      <c r="XAY188" s="2242"/>
      <c r="XAZ188" s="1360"/>
      <c r="XBA188" s="955"/>
      <c r="XBB188" s="1361"/>
      <c r="XBC188" s="1360"/>
      <c r="XBD188" s="1925"/>
      <c r="XBE188" s="955"/>
      <c r="XBF188" s="963"/>
      <c r="XBG188" s="2242"/>
      <c r="XBH188" s="1360"/>
      <c r="XBI188" s="955"/>
      <c r="XBJ188" s="1361"/>
      <c r="XBK188" s="1360"/>
      <c r="XBL188" s="1925"/>
      <c r="XBM188" s="955"/>
      <c r="XBN188" s="963"/>
      <c r="XBO188" s="2242"/>
      <c r="XBP188" s="1360"/>
      <c r="XBQ188" s="955"/>
      <c r="XBR188" s="1361"/>
      <c r="XBS188" s="1360"/>
      <c r="XBT188" s="1925"/>
      <c r="XBU188" s="955"/>
      <c r="XBV188" s="963"/>
      <c r="XBW188" s="2242"/>
      <c r="XBX188" s="1360"/>
      <c r="XBY188" s="955"/>
      <c r="XBZ188" s="1361"/>
      <c r="XCA188" s="1360"/>
      <c r="XCB188" s="1925"/>
      <c r="XCC188" s="955"/>
      <c r="XCD188" s="963"/>
      <c r="XCE188" s="2242"/>
      <c r="XCF188" s="1360"/>
      <c r="XCG188" s="955"/>
      <c r="XCH188" s="1361"/>
      <c r="XCI188" s="1360"/>
      <c r="XCJ188" s="1925"/>
      <c r="XCK188" s="955"/>
      <c r="XCL188" s="963"/>
      <c r="XCM188" s="2242"/>
      <c r="XCN188" s="1360"/>
      <c r="XCO188" s="955"/>
      <c r="XCP188" s="1361"/>
      <c r="XCQ188" s="1360"/>
      <c r="XCR188" s="1925"/>
      <c r="XCS188" s="955"/>
      <c r="XCT188" s="963"/>
      <c r="XCU188" s="2242"/>
      <c r="XCV188" s="1360"/>
      <c r="XCW188" s="955"/>
      <c r="XCX188" s="1361"/>
      <c r="XCY188" s="1360"/>
      <c r="XCZ188" s="1925"/>
      <c r="XDA188" s="955"/>
      <c r="XDB188" s="963"/>
      <c r="XDC188" s="2242"/>
      <c r="XDD188" s="1360"/>
      <c r="XDE188" s="955"/>
      <c r="XDF188" s="1361"/>
      <c r="XDG188" s="1360"/>
      <c r="XDH188" s="1925"/>
      <c r="XDI188" s="955"/>
      <c r="XDJ188" s="963"/>
      <c r="XDK188" s="2242"/>
      <c r="XDL188" s="1360"/>
      <c r="XDM188" s="955"/>
      <c r="XDN188" s="1361"/>
      <c r="XDO188" s="1360"/>
      <c r="XDP188" s="1925"/>
      <c r="XDQ188" s="955"/>
      <c r="XDR188" s="963"/>
      <c r="XDS188" s="2242"/>
      <c r="XDT188" s="1360"/>
      <c r="XDU188" s="955"/>
      <c r="XDV188" s="1361"/>
      <c r="XDW188" s="1360"/>
      <c r="XDX188" s="1925"/>
      <c r="XDY188" s="955"/>
      <c r="XDZ188" s="963"/>
      <c r="XEA188" s="2242"/>
      <c r="XEB188" s="1360"/>
      <c r="XEC188" s="955"/>
      <c r="XED188" s="1361"/>
      <c r="XEE188" s="1360"/>
      <c r="XEF188" s="1925"/>
      <c r="XEG188" s="955"/>
      <c r="XEH188" s="963"/>
      <c r="XEI188" s="2242"/>
      <c r="XEJ188" s="1360"/>
      <c r="XEK188" s="955"/>
      <c r="XEL188" s="1361"/>
      <c r="XEM188" s="1360"/>
      <c r="XEN188" s="1925"/>
      <c r="XEO188" s="955"/>
      <c r="XEP188" s="963"/>
      <c r="XEQ188" s="2242"/>
      <c r="XER188" s="1360"/>
      <c r="XES188" s="955"/>
      <c r="XET188" s="1361"/>
      <c r="XEU188" s="1360"/>
      <c r="XEV188" s="1925"/>
      <c r="XEW188" s="955"/>
      <c r="XEX188" s="963"/>
      <c r="XEY188" s="2242"/>
      <c r="XEZ188" s="1360"/>
      <c r="XFA188" s="955"/>
      <c r="XFB188" s="1361"/>
      <c r="XFC188" s="1360"/>
      <c r="XFD188" s="1925"/>
    </row>
    <row r="189" spans="1:16384" s="6" customFormat="1" ht="13.8" x14ac:dyDescent="0.25">
      <c r="A189" s="955"/>
      <c r="B189" s="963"/>
      <c r="C189" s="2242"/>
      <c r="D189" s="1360"/>
      <c r="E189" s="1937" t="s">
        <v>703</v>
      </c>
      <c r="F189" s="486"/>
      <c r="G189" s="1938" t="s">
        <v>1296</v>
      </c>
      <c r="H189" s="1938" t="s">
        <v>1296</v>
      </c>
      <c r="I189" s="1938" t="s">
        <v>1296</v>
      </c>
      <c r="J189" s="1930" t="s">
        <v>1298</v>
      </c>
      <c r="K189" s="2242"/>
      <c r="L189" s="1360"/>
      <c r="M189" s="1360"/>
      <c r="N189" s="1360"/>
      <c r="O189" s="1360"/>
      <c r="P189" s="1362"/>
      <c r="Q189" s="955"/>
      <c r="R189" s="963"/>
      <c r="S189" s="2242"/>
      <c r="T189" s="1360"/>
      <c r="U189" s="1360"/>
      <c r="V189" s="1360"/>
      <c r="W189" s="1360"/>
      <c r="X189" s="1362"/>
      <c r="Y189" s="955"/>
      <c r="Z189" s="963"/>
      <c r="AA189" s="2242"/>
      <c r="AB189" s="1360"/>
      <c r="AC189" s="1360"/>
      <c r="AD189" s="1360"/>
      <c r="AE189" s="1360"/>
      <c r="AF189" s="1362"/>
      <c r="AG189" s="955"/>
      <c r="AH189" s="963"/>
      <c r="AI189" s="2242"/>
      <c r="AJ189" s="1360"/>
      <c r="AK189" s="1360"/>
      <c r="AL189" s="1360"/>
      <c r="AM189" s="1360"/>
      <c r="AN189" s="1362"/>
      <c r="AO189" s="955"/>
      <c r="AP189" s="963"/>
      <c r="AQ189" s="2242"/>
      <c r="AR189" s="1360"/>
      <c r="AS189" s="1360"/>
      <c r="AT189" s="1360"/>
      <c r="AU189" s="1360"/>
      <c r="AV189" s="1362"/>
      <c r="AW189" s="955"/>
      <c r="AX189" s="963"/>
      <c r="AY189" s="2242"/>
      <c r="AZ189" s="1360"/>
      <c r="BA189" s="1360"/>
      <c r="BB189" s="1360"/>
      <c r="BC189" s="1360"/>
      <c r="BD189" s="1362"/>
      <c r="BE189" s="955"/>
      <c r="BF189" s="963"/>
      <c r="BG189" s="2242"/>
      <c r="BH189" s="1360"/>
      <c r="BI189" s="1360"/>
      <c r="BJ189" s="1360"/>
      <c r="BK189" s="1360"/>
      <c r="BL189" s="1362"/>
      <c r="BM189" s="955"/>
      <c r="BN189" s="963"/>
      <c r="BO189" s="2242"/>
      <c r="BP189" s="1360"/>
      <c r="BQ189" s="1360"/>
      <c r="BR189" s="1360"/>
      <c r="BS189" s="1360"/>
      <c r="BT189" s="1362"/>
      <c r="BU189" s="955"/>
      <c r="BV189" s="963"/>
      <c r="BW189" s="2242"/>
      <c r="BX189" s="1360"/>
      <c r="BY189" s="1360"/>
      <c r="BZ189" s="1360"/>
      <c r="CA189" s="1360"/>
      <c r="CB189" s="1362"/>
      <c r="CC189" s="955"/>
      <c r="CD189" s="963"/>
      <c r="CE189" s="2242"/>
      <c r="CF189" s="1360"/>
      <c r="CG189" s="1360"/>
      <c r="CH189" s="1360"/>
      <c r="CI189" s="1360"/>
      <c r="CJ189" s="1362"/>
      <c r="CK189" s="955"/>
      <c r="CL189" s="963"/>
      <c r="CM189" s="2242"/>
      <c r="CN189" s="1360"/>
      <c r="CO189" s="1360"/>
      <c r="CP189" s="1360"/>
      <c r="CQ189" s="1360"/>
      <c r="CR189" s="1362"/>
      <c r="CS189" s="955"/>
      <c r="CT189" s="963"/>
      <c r="CU189" s="2242"/>
      <c r="CV189" s="1360"/>
      <c r="CW189" s="1360"/>
      <c r="CX189" s="1360"/>
      <c r="CY189" s="1360"/>
      <c r="CZ189" s="1362"/>
      <c r="DA189" s="955"/>
      <c r="DB189" s="963"/>
      <c r="DC189" s="2242"/>
      <c r="DD189" s="1360"/>
      <c r="DE189" s="1360"/>
      <c r="DF189" s="1360"/>
      <c r="DG189" s="1360"/>
      <c r="DH189" s="1362"/>
      <c r="DI189" s="955"/>
      <c r="DJ189" s="963"/>
      <c r="DK189" s="2242"/>
      <c r="DL189" s="1360"/>
      <c r="DM189" s="1360"/>
      <c r="DN189" s="1360"/>
      <c r="DO189" s="1360"/>
      <c r="DP189" s="1362"/>
      <c r="DQ189" s="955"/>
      <c r="DR189" s="963"/>
      <c r="DS189" s="2242"/>
      <c r="DT189" s="1360"/>
      <c r="DU189" s="1360"/>
      <c r="DV189" s="1360"/>
      <c r="DW189" s="1360"/>
      <c r="DX189" s="1362"/>
      <c r="DY189" s="955"/>
      <c r="DZ189" s="963"/>
      <c r="EA189" s="2242"/>
      <c r="EB189" s="1360"/>
      <c r="EC189" s="1360"/>
      <c r="ED189" s="1360"/>
      <c r="EE189" s="1360"/>
      <c r="EF189" s="1362"/>
      <c r="EG189" s="955"/>
      <c r="EH189" s="963"/>
      <c r="EI189" s="2242"/>
      <c r="EJ189" s="1360"/>
      <c r="EK189" s="1360"/>
      <c r="EL189" s="1360"/>
      <c r="EM189" s="1360"/>
      <c r="EN189" s="1362"/>
      <c r="EO189" s="955"/>
      <c r="EP189" s="963"/>
      <c r="EQ189" s="2242"/>
      <c r="ER189" s="1360"/>
      <c r="ES189" s="1360"/>
      <c r="ET189" s="1360"/>
      <c r="EU189" s="1360"/>
      <c r="EV189" s="1362"/>
      <c r="EW189" s="955"/>
      <c r="EX189" s="963"/>
      <c r="EY189" s="2242"/>
      <c r="EZ189" s="1360"/>
      <c r="FA189" s="1360"/>
      <c r="FB189" s="1360"/>
      <c r="FC189" s="1360"/>
      <c r="FD189" s="1362"/>
      <c r="FE189" s="955"/>
      <c r="FF189" s="963"/>
      <c r="FG189" s="2242"/>
      <c r="FH189" s="1360"/>
      <c r="FI189" s="1360"/>
      <c r="FJ189" s="1360"/>
      <c r="FK189" s="1360"/>
      <c r="FL189" s="1362"/>
      <c r="FM189" s="955"/>
      <c r="FN189" s="963"/>
      <c r="FO189" s="2242"/>
      <c r="FP189" s="1360"/>
      <c r="FQ189" s="1360"/>
      <c r="FR189" s="1360"/>
      <c r="FS189" s="1360"/>
      <c r="FT189" s="1362"/>
      <c r="FU189" s="955"/>
      <c r="FV189" s="963"/>
      <c r="FW189" s="2242"/>
      <c r="FX189" s="1360"/>
      <c r="FY189" s="1360"/>
      <c r="FZ189" s="1360"/>
      <c r="GA189" s="1360"/>
      <c r="GB189" s="1362"/>
      <c r="GC189" s="955"/>
      <c r="GD189" s="963"/>
      <c r="GE189" s="2242"/>
      <c r="GF189" s="1360"/>
      <c r="GG189" s="1360"/>
      <c r="GH189" s="1360"/>
      <c r="GI189" s="1360"/>
      <c r="GJ189" s="1362"/>
      <c r="GK189" s="955"/>
      <c r="GL189" s="963"/>
      <c r="GM189" s="2242"/>
      <c r="GN189" s="1360"/>
      <c r="GO189" s="1360"/>
      <c r="GP189" s="1360"/>
      <c r="GQ189" s="1360"/>
      <c r="GR189" s="1362"/>
      <c r="GS189" s="955"/>
      <c r="GT189" s="963"/>
      <c r="GU189" s="2242"/>
      <c r="GV189" s="1360"/>
      <c r="GW189" s="1360"/>
      <c r="GX189" s="1360"/>
      <c r="GY189" s="1360"/>
      <c r="GZ189" s="1362"/>
      <c r="HA189" s="955"/>
      <c r="HB189" s="963"/>
      <c r="HC189" s="2242"/>
      <c r="HD189" s="1360"/>
      <c r="HE189" s="1360"/>
      <c r="HF189" s="1360"/>
      <c r="HG189" s="1360"/>
      <c r="HH189" s="1362"/>
      <c r="HI189" s="955"/>
      <c r="HJ189" s="963"/>
      <c r="HK189" s="2242"/>
      <c r="HL189" s="1360"/>
      <c r="HM189" s="1360"/>
      <c r="HN189" s="1360"/>
      <c r="HO189" s="1360"/>
      <c r="HP189" s="1362"/>
      <c r="HQ189" s="955"/>
      <c r="HR189" s="963"/>
      <c r="HS189" s="2242"/>
      <c r="HT189" s="1360"/>
      <c r="HU189" s="1360"/>
      <c r="HV189" s="1360"/>
      <c r="HW189" s="1360"/>
      <c r="HX189" s="1362"/>
      <c r="HY189" s="955"/>
      <c r="HZ189" s="963"/>
      <c r="IA189" s="2242"/>
      <c r="IB189" s="1360"/>
      <c r="IC189" s="1360"/>
      <c r="ID189" s="1360"/>
      <c r="IE189" s="1360"/>
      <c r="IF189" s="1362"/>
      <c r="IG189" s="955"/>
      <c r="IH189" s="963"/>
      <c r="II189" s="2242"/>
      <c r="IJ189" s="1360"/>
      <c r="IK189" s="1360"/>
      <c r="IL189" s="1360"/>
      <c r="IM189" s="1360"/>
      <c r="IN189" s="1362"/>
      <c r="IO189" s="955"/>
      <c r="IP189" s="963"/>
      <c r="IQ189" s="2242"/>
      <c r="IR189" s="1360"/>
      <c r="IS189" s="1360"/>
      <c r="IT189" s="1360"/>
      <c r="IU189" s="1360"/>
      <c r="IV189" s="1362"/>
      <c r="IW189" s="955"/>
      <c r="IX189" s="963"/>
      <c r="IY189" s="2242"/>
      <c r="IZ189" s="1360"/>
      <c r="JA189" s="1360"/>
      <c r="JB189" s="1360"/>
      <c r="JC189" s="1360"/>
      <c r="JD189" s="1362"/>
      <c r="JE189" s="955"/>
      <c r="JF189" s="963"/>
      <c r="JG189" s="2242"/>
      <c r="JH189" s="1360"/>
      <c r="JI189" s="1360"/>
      <c r="JJ189" s="1360"/>
      <c r="JK189" s="1360"/>
      <c r="JL189" s="1362"/>
      <c r="JM189" s="955"/>
      <c r="JN189" s="963"/>
      <c r="JO189" s="2242"/>
      <c r="JP189" s="1360"/>
      <c r="JQ189" s="1360"/>
      <c r="JR189" s="1360"/>
      <c r="JS189" s="1360"/>
      <c r="JT189" s="1362"/>
      <c r="JU189" s="955"/>
      <c r="JV189" s="963"/>
      <c r="JW189" s="2242"/>
      <c r="JX189" s="1360"/>
      <c r="JY189" s="1360"/>
      <c r="JZ189" s="1360"/>
      <c r="KA189" s="1360"/>
      <c r="KB189" s="1362"/>
      <c r="KC189" s="955"/>
      <c r="KD189" s="963"/>
      <c r="KE189" s="2242"/>
      <c r="KF189" s="1360"/>
      <c r="KG189" s="1360"/>
      <c r="KH189" s="1360"/>
      <c r="KI189" s="1360"/>
      <c r="KJ189" s="1362"/>
      <c r="KK189" s="955"/>
      <c r="KL189" s="963"/>
      <c r="KM189" s="2242"/>
      <c r="KN189" s="1360"/>
      <c r="KO189" s="1360"/>
      <c r="KP189" s="1360"/>
      <c r="KQ189" s="1360"/>
      <c r="KR189" s="1362"/>
      <c r="KS189" s="955"/>
      <c r="KT189" s="963"/>
      <c r="KU189" s="2242"/>
      <c r="KV189" s="1360"/>
      <c r="KW189" s="1360"/>
      <c r="KX189" s="1360"/>
      <c r="KY189" s="1360"/>
      <c r="KZ189" s="1362"/>
      <c r="LA189" s="955"/>
      <c r="LB189" s="963"/>
      <c r="LC189" s="2242"/>
      <c r="LD189" s="1360"/>
      <c r="LE189" s="1360"/>
      <c r="LF189" s="1360"/>
      <c r="LG189" s="1360"/>
      <c r="LH189" s="1362"/>
      <c r="LI189" s="955"/>
      <c r="LJ189" s="963"/>
      <c r="LK189" s="2242"/>
      <c r="LL189" s="1360"/>
      <c r="LM189" s="1360"/>
      <c r="LN189" s="1360"/>
      <c r="LO189" s="1360"/>
      <c r="LP189" s="1362"/>
      <c r="LQ189" s="955"/>
      <c r="LR189" s="963"/>
      <c r="LS189" s="2242"/>
      <c r="LT189" s="1360"/>
      <c r="LU189" s="1360"/>
      <c r="LV189" s="1360"/>
      <c r="LW189" s="1360"/>
      <c r="LX189" s="1362"/>
      <c r="LY189" s="955"/>
      <c r="LZ189" s="963"/>
      <c r="MA189" s="2242"/>
      <c r="MB189" s="1360"/>
      <c r="MC189" s="1360"/>
      <c r="MD189" s="1360"/>
      <c r="ME189" s="1360"/>
      <c r="MF189" s="1362"/>
      <c r="MG189" s="955"/>
      <c r="MH189" s="963"/>
      <c r="MI189" s="2242"/>
      <c r="MJ189" s="1360"/>
      <c r="MK189" s="1360"/>
      <c r="ML189" s="1360"/>
      <c r="MM189" s="1360"/>
      <c r="MN189" s="1362"/>
      <c r="MO189" s="955"/>
      <c r="MP189" s="963"/>
      <c r="MQ189" s="2242"/>
      <c r="MR189" s="1360"/>
      <c r="MS189" s="1360"/>
      <c r="MT189" s="1360"/>
      <c r="MU189" s="1360"/>
      <c r="MV189" s="1362"/>
      <c r="MW189" s="955"/>
      <c r="MX189" s="963"/>
      <c r="MY189" s="2242"/>
      <c r="MZ189" s="1360"/>
      <c r="NA189" s="1360"/>
      <c r="NB189" s="1360"/>
      <c r="NC189" s="1360"/>
      <c r="ND189" s="1362"/>
      <c r="NE189" s="955"/>
      <c r="NF189" s="963"/>
      <c r="NG189" s="2242"/>
      <c r="NH189" s="1360"/>
      <c r="NI189" s="1360"/>
      <c r="NJ189" s="1360"/>
      <c r="NK189" s="1360"/>
      <c r="NL189" s="1362"/>
      <c r="NM189" s="955"/>
      <c r="NN189" s="963"/>
      <c r="NO189" s="2242"/>
      <c r="NP189" s="1360"/>
      <c r="NQ189" s="1360"/>
      <c r="NR189" s="1360"/>
      <c r="NS189" s="1360"/>
      <c r="NT189" s="1362"/>
      <c r="NU189" s="955"/>
      <c r="NV189" s="963"/>
      <c r="NW189" s="2242"/>
      <c r="NX189" s="1360"/>
      <c r="NY189" s="1360"/>
      <c r="NZ189" s="1360"/>
      <c r="OA189" s="1360"/>
      <c r="OB189" s="1362"/>
      <c r="OC189" s="955"/>
      <c r="OD189" s="963"/>
      <c r="OE189" s="2242"/>
      <c r="OF189" s="1360"/>
      <c r="OG189" s="1360"/>
      <c r="OH189" s="1360"/>
      <c r="OI189" s="1360"/>
      <c r="OJ189" s="1362"/>
      <c r="OK189" s="955"/>
      <c r="OL189" s="963"/>
      <c r="OM189" s="2242"/>
      <c r="ON189" s="1360"/>
      <c r="OO189" s="1360"/>
      <c r="OP189" s="1360"/>
      <c r="OQ189" s="1360"/>
      <c r="OR189" s="1362"/>
      <c r="OS189" s="955"/>
      <c r="OT189" s="963"/>
      <c r="OU189" s="2242"/>
      <c r="OV189" s="1360"/>
      <c r="OW189" s="1360"/>
      <c r="OX189" s="1360"/>
      <c r="OY189" s="1360"/>
      <c r="OZ189" s="1362"/>
      <c r="PA189" s="955"/>
      <c r="PB189" s="963"/>
      <c r="PC189" s="2242"/>
      <c r="PD189" s="1360"/>
      <c r="PE189" s="1360"/>
      <c r="PF189" s="1360"/>
      <c r="PG189" s="1360"/>
      <c r="PH189" s="1362"/>
      <c r="PI189" s="955"/>
      <c r="PJ189" s="963"/>
      <c r="PK189" s="2242"/>
      <c r="PL189" s="1360"/>
      <c r="PM189" s="1360"/>
      <c r="PN189" s="1360"/>
      <c r="PO189" s="1360"/>
      <c r="PP189" s="1362"/>
      <c r="PQ189" s="955"/>
      <c r="PR189" s="963"/>
      <c r="PS189" s="2242"/>
      <c r="PT189" s="1360"/>
      <c r="PU189" s="1360"/>
      <c r="PV189" s="1360"/>
      <c r="PW189" s="1360"/>
      <c r="PX189" s="1362"/>
      <c r="PY189" s="955"/>
      <c r="PZ189" s="963"/>
      <c r="QA189" s="2242"/>
      <c r="QB189" s="1360"/>
      <c r="QC189" s="1360"/>
      <c r="QD189" s="1360"/>
      <c r="QE189" s="1360"/>
      <c r="QF189" s="1362"/>
      <c r="QG189" s="955"/>
      <c r="QH189" s="963"/>
      <c r="QI189" s="2242"/>
      <c r="QJ189" s="1360"/>
      <c r="QK189" s="1360"/>
      <c r="QL189" s="1360"/>
      <c r="QM189" s="1360"/>
      <c r="QN189" s="1362"/>
      <c r="QO189" s="955"/>
      <c r="QP189" s="963"/>
      <c r="QQ189" s="2242"/>
      <c r="QR189" s="1360"/>
      <c r="QS189" s="1360"/>
      <c r="QT189" s="1360"/>
      <c r="QU189" s="1360"/>
      <c r="QV189" s="1362"/>
      <c r="QW189" s="955"/>
      <c r="QX189" s="963"/>
      <c r="QY189" s="2242"/>
      <c r="QZ189" s="1360"/>
      <c r="RA189" s="1360"/>
      <c r="RB189" s="1360"/>
      <c r="RC189" s="1360"/>
      <c r="RD189" s="1362"/>
      <c r="RE189" s="955"/>
      <c r="RF189" s="963"/>
      <c r="RG189" s="2242"/>
      <c r="RH189" s="1360"/>
      <c r="RI189" s="1360"/>
      <c r="RJ189" s="1360"/>
      <c r="RK189" s="1360"/>
      <c r="RL189" s="1362"/>
      <c r="RM189" s="955"/>
      <c r="RN189" s="963"/>
      <c r="RO189" s="2242"/>
      <c r="RP189" s="1360"/>
      <c r="RQ189" s="1360"/>
      <c r="RR189" s="1360"/>
      <c r="RS189" s="1360"/>
      <c r="RT189" s="1362"/>
      <c r="RU189" s="955"/>
      <c r="RV189" s="963"/>
      <c r="RW189" s="2242"/>
      <c r="RX189" s="1360"/>
      <c r="RY189" s="1360"/>
      <c r="RZ189" s="1360"/>
      <c r="SA189" s="1360"/>
      <c r="SB189" s="1362"/>
      <c r="SC189" s="955"/>
      <c r="SD189" s="963"/>
      <c r="SE189" s="2242"/>
      <c r="SF189" s="1360"/>
      <c r="SG189" s="1360"/>
      <c r="SH189" s="1360"/>
      <c r="SI189" s="1360"/>
      <c r="SJ189" s="1362"/>
      <c r="SK189" s="955"/>
      <c r="SL189" s="963"/>
      <c r="SM189" s="2242"/>
      <c r="SN189" s="1360"/>
      <c r="SO189" s="1360"/>
      <c r="SP189" s="1360"/>
      <c r="SQ189" s="1360"/>
      <c r="SR189" s="1362"/>
      <c r="SS189" s="955"/>
      <c r="ST189" s="963"/>
      <c r="SU189" s="2242"/>
      <c r="SV189" s="1360"/>
      <c r="SW189" s="1360"/>
      <c r="SX189" s="1360"/>
      <c r="SY189" s="1360"/>
      <c r="SZ189" s="1362"/>
      <c r="TA189" s="955"/>
      <c r="TB189" s="963"/>
      <c r="TC189" s="2242"/>
      <c r="TD189" s="1360"/>
      <c r="TE189" s="1360"/>
      <c r="TF189" s="1360"/>
      <c r="TG189" s="1360"/>
      <c r="TH189" s="1362"/>
      <c r="TI189" s="955"/>
      <c r="TJ189" s="963"/>
      <c r="TK189" s="2242"/>
      <c r="TL189" s="1360"/>
      <c r="TM189" s="1360"/>
      <c r="TN189" s="1360"/>
      <c r="TO189" s="1360"/>
      <c r="TP189" s="1362"/>
      <c r="TQ189" s="955"/>
      <c r="TR189" s="963"/>
      <c r="TS189" s="2242"/>
      <c r="TT189" s="1360"/>
      <c r="TU189" s="1360"/>
      <c r="TV189" s="1360"/>
      <c r="TW189" s="1360"/>
      <c r="TX189" s="1362"/>
      <c r="TY189" s="955"/>
      <c r="TZ189" s="963"/>
      <c r="UA189" s="2242"/>
      <c r="UB189" s="1360"/>
      <c r="UC189" s="1360"/>
      <c r="UD189" s="1360"/>
      <c r="UE189" s="1360"/>
      <c r="UF189" s="1362"/>
      <c r="UG189" s="955"/>
      <c r="UH189" s="963"/>
      <c r="UI189" s="2242"/>
      <c r="UJ189" s="1360"/>
      <c r="UK189" s="1360"/>
      <c r="UL189" s="1360"/>
      <c r="UM189" s="1360"/>
      <c r="UN189" s="1362"/>
      <c r="UO189" s="955"/>
      <c r="UP189" s="963"/>
      <c r="UQ189" s="2242"/>
      <c r="UR189" s="1360"/>
      <c r="US189" s="1360"/>
      <c r="UT189" s="1360"/>
      <c r="UU189" s="1360"/>
      <c r="UV189" s="1362"/>
      <c r="UW189" s="955"/>
      <c r="UX189" s="963"/>
      <c r="UY189" s="2242"/>
      <c r="UZ189" s="1360"/>
      <c r="VA189" s="1360"/>
      <c r="VB189" s="1360"/>
      <c r="VC189" s="1360"/>
      <c r="VD189" s="1362"/>
      <c r="VE189" s="955"/>
      <c r="VF189" s="963"/>
      <c r="VG189" s="2242"/>
      <c r="VH189" s="1360"/>
      <c r="VI189" s="1360"/>
      <c r="VJ189" s="1360"/>
      <c r="VK189" s="1360"/>
      <c r="VL189" s="1362"/>
      <c r="VM189" s="955"/>
      <c r="VN189" s="963"/>
      <c r="VO189" s="2242"/>
      <c r="VP189" s="1360"/>
      <c r="VQ189" s="1360"/>
      <c r="VR189" s="1360"/>
      <c r="VS189" s="1360"/>
      <c r="VT189" s="1362"/>
      <c r="VU189" s="955"/>
      <c r="VV189" s="963"/>
      <c r="VW189" s="2242"/>
      <c r="VX189" s="1360"/>
      <c r="VY189" s="1360"/>
      <c r="VZ189" s="1360"/>
      <c r="WA189" s="1360"/>
      <c r="WB189" s="1362"/>
      <c r="WC189" s="955"/>
      <c r="WD189" s="963"/>
      <c r="WE189" s="2242"/>
      <c r="WF189" s="1360"/>
      <c r="WG189" s="1360"/>
      <c r="WH189" s="1360"/>
      <c r="WI189" s="1360"/>
      <c r="WJ189" s="1362"/>
      <c r="WK189" s="955"/>
      <c r="WL189" s="963"/>
      <c r="WM189" s="2242"/>
      <c r="WN189" s="1360"/>
      <c r="WO189" s="1360"/>
      <c r="WP189" s="1360"/>
      <c r="WQ189" s="1360"/>
      <c r="WR189" s="1362"/>
      <c r="WS189" s="955"/>
      <c r="WT189" s="963"/>
      <c r="WU189" s="2242"/>
      <c r="WV189" s="1360"/>
      <c r="WW189" s="1360"/>
      <c r="WX189" s="1360"/>
      <c r="WY189" s="1360"/>
      <c r="WZ189" s="1362"/>
      <c r="XA189" s="955"/>
      <c r="XB189" s="963"/>
      <c r="XC189" s="2242"/>
      <c r="XD189" s="1360"/>
      <c r="XE189" s="1360"/>
      <c r="XF189" s="1360"/>
      <c r="XG189" s="1360"/>
      <c r="XH189" s="1362"/>
      <c r="XI189" s="955"/>
      <c r="XJ189" s="963"/>
      <c r="XK189" s="2242"/>
      <c r="XL189" s="1360"/>
      <c r="XM189" s="1360"/>
      <c r="XN189" s="1360"/>
      <c r="XO189" s="1360"/>
      <c r="XP189" s="1362"/>
      <c r="XQ189" s="955"/>
      <c r="XR189" s="963"/>
      <c r="XS189" s="2242"/>
      <c r="XT189" s="1360"/>
      <c r="XU189" s="1360"/>
      <c r="XV189" s="1360"/>
      <c r="XW189" s="1360"/>
      <c r="XX189" s="1362"/>
      <c r="XY189" s="955"/>
      <c r="XZ189" s="963"/>
      <c r="YA189" s="2242"/>
      <c r="YB189" s="1360"/>
      <c r="YC189" s="1360"/>
      <c r="YD189" s="1360"/>
      <c r="YE189" s="1360"/>
      <c r="YF189" s="1362"/>
      <c r="YG189" s="955"/>
      <c r="YH189" s="963"/>
      <c r="YI189" s="2242"/>
      <c r="YJ189" s="1360"/>
      <c r="YK189" s="1360"/>
      <c r="YL189" s="1360"/>
      <c r="YM189" s="1360"/>
      <c r="YN189" s="1362"/>
      <c r="YO189" s="955"/>
      <c r="YP189" s="963"/>
      <c r="YQ189" s="2242"/>
      <c r="YR189" s="1360"/>
      <c r="YS189" s="1360"/>
      <c r="YT189" s="1360"/>
      <c r="YU189" s="1360"/>
      <c r="YV189" s="1362"/>
      <c r="YW189" s="955"/>
      <c r="YX189" s="963"/>
      <c r="YY189" s="2242"/>
      <c r="YZ189" s="1360"/>
      <c r="ZA189" s="1360"/>
      <c r="ZB189" s="1360"/>
      <c r="ZC189" s="1360"/>
      <c r="ZD189" s="1362"/>
      <c r="ZE189" s="955"/>
      <c r="ZF189" s="963"/>
      <c r="ZG189" s="2242"/>
      <c r="ZH189" s="1360"/>
      <c r="ZI189" s="1360"/>
      <c r="ZJ189" s="1360"/>
      <c r="ZK189" s="1360"/>
      <c r="ZL189" s="1362"/>
      <c r="ZM189" s="955"/>
      <c r="ZN189" s="963"/>
      <c r="ZO189" s="2242"/>
      <c r="ZP189" s="1360"/>
      <c r="ZQ189" s="1360"/>
      <c r="ZR189" s="1360"/>
      <c r="ZS189" s="1360"/>
      <c r="ZT189" s="1362"/>
      <c r="ZU189" s="955"/>
      <c r="ZV189" s="963"/>
      <c r="ZW189" s="2242"/>
      <c r="ZX189" s="1360"/>
      <c r="ZY189" s="1360"/>
      <c r="ZZ189" s="1360"/>
      <c r="AAA189" s="1360"/>
      <c r="AAB189" s="1362"/>
      <c r="AAC189" s="955"/>
      <c r="AAD189" s="963"/>
      <c r="AAE189" s="2242"/>
      <c r="AAF189" s="1360"/>
      <c r="AAG189" s="1360"/>
      <c r="AAH189" s="1360"/>
      <c r="AAI189" s="1360"/>
      <c r="AAJ189" s="1362"/>
      <c r="AAK189" s="955"/>
      <c r="AAL189" s="963"/>
      <c r="AAM189" s="2242"/>
      <c r="AAN189" s="1360"/>
      <c r="AAO189" s="1360"/>
      <c r="AAP189" s="1360"/>
      <c r="AAQ189" s="1360"/>
      <c r="AAR189" s="1362"/>
      <c r="AAS189" s="955"/>
      <c r="AAT189" s="963"/>
      <c r="AAU189" s="2242"/>
      <c r="AAV189" s="1360"/>
      <c r="AAW189" s="1360"/>
      <c r="AAX189" s="1360"/>
      <c r="AAY189" s="1360"/>
      <c r="AAZ189" s="1362"/>
      <c r="ABA189" s="955"/>
      <c r="ABB189" s="963"/>
      <c r="ABC189" s="2242"/>
      <c r="ABD189" s="1360"/>
      <c r="ABE189" s="1360"/>
      <c r="ABF189" s="1360"/>
      <c r="ABG189" s="1360"/>
      <c r="ABH189" s="1362"/>
      <c r="ABI189" s="955"/>
      <c r="ABJ189" s="963"/>
      <c r="ABK189" s="2242"/>
      <c r="ABL189" s="1360"/>
      <c r="ABM189" s="1360"/>
      <c r="ABN189" s="1360"/>
      <c r="ABO189" s="1360"/>
      <c r="ABP189" s="1362"/>
      <c r="ABQ189" s="955"/>
      <c r="ABR189" s="963"/>
      <c r="ABS189" s="2242"/>
      <c r="ABT189" s="1360"/>
      <c r="ABU189" s="1360"/>
      <c r="ABV189" s="1360"/>
      <c r="ABW189" s="1360"/>
      <c r="ABX189" s="1362"/>
      <c r="ABY189" s="955"/>
      <c r="ABZ189" s="963"/>
      <c r="ACA189" s="2242"/>
      <c r="ACB189" s="1360"/>
      <c r="ACC189" s="1360"/>
      <c r="ACD189" s="1360"/>
      <c r="ACE189" s="1360"/>
      <c r="ACF189" s="1362"/>
      <c r="ACG189" s="955"/>
      <c r="ACH189" s="963"/>
      <c r="ACI189" s="2242"/>
      <c r="ACJ189" s="1360"/>
      <c r="ACK189" s="1360"/>
      <c r="ACL189" s="1360"/>
      <c r="ACM189" s="1360"/>
      <c r="ACN189" s="1362"/>
      <c r="ACO189" s="955"/>
      <c r="ACP189" s="963"/>
      <c r="ACQ189" s="2242"/>
      <c r="ACR189" s="1360"/>
      <c r="ACS189" s="1360"/>
      <c r="ACT189" s="1360"/>
      <c r="ACU189" s="1360"/>
      <c r="ACV189" s="1362"/>
      <c r="ACW189" s="955"/>
      <c r="ACX189" s="963"/>
      <c r="ACY189" s="2242"/>
      <c r="ACZ189" s="1360"/>
      <c r="ADA189" s="1360"/>
      <c r="ADB189" s="1360"/>
      <c r="ADC189" s="1360"/>
      <c r="ADD189" s="1362"/>
      <c r="ADE189" s="955"/>
      <c r="ADF189" s="963"/>
      <c r="ADG189" s="2242"/>
      <c r="ADH189" s="1360"/>
      <c r="ADI189" s="1360"/>
      <c r="ADJ189" s="1360"/>
      <c r="ADK189" s="1360"/>
      <c r="ADL189" s="1362"/>
      <c r="ADM189" s="955"/>
      <c r="ADN189" s="963"/>
      <c r="ADO189" s="2242"/>
      <c r="ADP189" s="1360"/>
      <c r="ADQ189" s="1360"/>
      <c r="ADR189" s="1360"/>
      <c r="ADS189" s="1360"/>
      <c r="ADT189" s="1362"/>
      <c r="ADU189" s="955"/>
      <c r="ADV189" s="963"/>
      <c r="ADW189" s="2242"/>
      <c r="ADX189" s="1360"/>
      <c r="ADY189" s="1360"/>
      <c r="ADZ189" s="1360"/>
      <c r="AEA189" s="1360"/>
      <c r="AEB189" s="1362"/>
      <c r="AEC189" s="955"/>
      <c r="AED189" s="963"/>
      <c r="AEE189" s="2242"/>
      <c r="AEF189" s="1360"/>
      <c r="AEG189" s="1360"/>
      <c r="AEH189" s="1360"/>
      <c r="AEI189" s="1360"/>
      <c r="AEJ189" s="1362"/>
      <c r="AEK189" s="955"/>
      <c r="AEL189" s="963"/>
      <c r="AEM189" s="2242"/>
      <c r="AEN189" s="1360"/>
      <c r="AEO189" s="1360"/>
      <c r="AEP189" s="1360"/>
      <c r="AEQ189" s="1360"/>
      <c r="AER189" s="1362"/>
      <c r="AES189" s="955"/>
      <c r="AET189" s="963"/>
      <c r="AEU189" s="2242"/>
      <c r="AEV189" s="1360"/>
      <c r="AEW189" s="1360"/>
      <c r="AEX189" s="1360"/>
      <c r="AEY189" s="1360"/>
      <c r="AEZ189" s="1362"/>
      <c r="AFA189" s="955"/>
      <c r="AFB189" s="963"/>
      <c r="AFC189" s="2242"/>
      <c r="AFD189" s="1360"/>
      <c r="AFE189" s="1360"/>
      <c r="AFF189" s="1360"/>
      <c r="AFG189" s="1360"/>
      <c r="AFH189" s="1362"/>
      <c r="AFI189" s="955"/>
      <c r="AFJ189" s="963"/>
      <c r="AFK189" s="2242"/>
      <c r="AFL189" s="1360"/>
      <c r="AFM189" s="1360"/>
      <c r="AFN189" s="1360"/>
      <c r="AFO189" s="1360"/>
      <c r="AFP189" s="1362"/>
      <c r="AFQ189" s="955"/>
      <c r="AFR189" s="963"/>
      <c r="AFS189" s="2242"/>
      <c r="AFT189" s="1360"/>
      <c r="AFU189" s="1360"/>
      <c r="AFV189" s="1360"/>
      <c r="AFW189" s="1360"/>
      <c r="AFX189" s="1362"/>
      <c r="AFY189" s="955"/>
      <c r="AFZ189" s="963"/>
      <c r="AGA189" s="2242"/>
      <c r="AGB189" s="1360"/>
      <c r="AGC189" s="1360"/>
      <c r="AGD189" s="1360"/>
      <c r="AGE189" s="1360"/>
      <c r="AGF189" s="1362"/>
      <c r="AGG189" s="955"/>
      <c r="AGH189" s="963"/>
      <c r="AGI189" s="2242"/>
      <c r="AGJ189" s="1360"/>
      <c r="AGK189" s="1360"/>
      <c r="AGL189" s="1360"/>
      <c r="AGM189" s="1360"/>
      <c r="AGN189" s="1362"/>
      <c r="AGO189" s="955"/>
      <c r="AGP189" s="963"/>
      <c r="AGQ189" s="2242"/>
      <c r="AGR189" s="1360"/>
      <c r="AGS189" s="1360"/>
      <c r="AGT189" s="1360"/>
      <c r="AGU189" s="1360"/>
      <c r="AGV189" s="1362"/>
      <c r="AGW189" s="955"/>
      <c r="AGX189" s="963"/>
      <c r="AGY189" s="2242"/>
      <c r="AGZ189" s="1360"/>
      <c r="AHA189" s="1360"/>
      <c r="AHB189" s="1360"/>
      <c r="AHC189" s="1360"/>
      <c r="AHD189" s="1362"/>
      <c r="AHE189" s="955"/>
      <c r="AHF189" s="963"/>
      <c r="AHG189" s="2242"/>
      <c r="AHH189" s="1360"/>
      <c r="AHI189" s="1360"/>
      <c r="AHJ189" s="1360"/>
      <c r="AHK189" s="1360"/>
      <c r="AHL189" s="1362"/>
      <c r="AHM189" s="955"/>
      <c r="AHN189" s="963"/>
      <c r="AHO189" s="2242"/>
      <c r="AHP189" s="1360"/>
      <c r="AHQ189" s="1360"/>
      <c r="AHR189" s="1360"/>
      <c r="AHS189" s="1360"/>
      <c r="AHT189" s="1362"/>
      <c r="AHU189" s="955"/>
      <c r="AHV189" s="963"/>
      <c r="AHW189" s="2242"/>
      <c r="AHX189" s="1360"/>
      <c r="AHY189" s="1360"/>
      <c r="AHZ189" s="1360"/>
      <c r="AIA189" s="1360"/>
      <c r="AIB189" s="1362"/>
      <c r="AIC189" s="955"/>
      <c r="AID189" s="963"/>
      <c r="AIE189" s="2242"/>
      <c r="AIF189" s="1360"/>
      <c r="AIG189" s="1360"/>
      <c r="AIH189" s="1360"/>
      <c r="AII189" s="1360"/>
      <c r="AIJ189" s="1362"/>
      <c r="AIK189" s="955"/>
      <c r="AIL189" s="963"/>
      <c r="AIM189" s="2242"/>
      <c r="AIN189" s="1360"/>
      <c r="AIO189" s="1360"/>
      <c r="AIP189" s="1360"/>
      <c r="AIQ189" s="1360"/>
      <c r="AIR189" s="1362"/>
      <c r="AIS189" s="955"/>
      <c r="AIT189" s="963"/>
      <c r="AIU189" s="2242"/>
      <c r="AIV189" s="1360"/>
      <c r="AIW189" s="1360"/>
      <c r="AIX189" s="1360"/>
      <c r="AIY189" s="1360"/>
      <c r="AIZ189" s="1362"/>
      <c r="AJA189" s="955"/>
      <c r="AJB189" s="963"/>
      <c r="AJC189" s="2242"/>
      <c r="AJD189" s="1360"/>
      <c r="AJE189" s="1360"/>
      <c r="AJF189" s="1360"/>
      <c r="AJG189" s="1360"/>
      <c r="AJH189" s="1362"/>
      <c r="AJI189" s="955"/>
      <c r="AJJ189" s="963"/>
      <c r="AJK189" s="2242"/>
      <c r="AJL189" s="1360"/>
      <c r="AJM189" s="1360"/>
      <c r="AJN189" s="1360"/>
      <c r="AJO189" s="1360"/>
      <c r="AJP189" s="1362"/>
      <c r="AJQ189" s="955"/>
      <c r="AJR189" s="963"/>
      <c r="AJS189" s="2242"/>
      <c r="AJT189" s="1360"/>
      <c r="AJU189" s="1360"/>
      <c r="AJV189" s="1360"/>
      <c r="AJW189" s="1360"/>
      <c r="AJX189" s="1362"/>
      <c r="AJY189" s="955"/>
      <c r="AJZ189" s="963"/>
      <c r="AKA189" s="2242"/>
      <c r="AKB189" s="1360"/>
      <c r="AKC189" s="1360"/>
      <c r="AKD189" s="1360"/>
      <c r="AKE189" s="1360"/>
      <c r="AKF189" s="1362"/>
      <c r="AKG189" s="955"/>
      <c r="AKH189" s="963"/>
      <c r="AKI189" s="2242"/>
      <c r="AKJ189" s="1360"/>
      <c r="AKK189" s="1360"/>
      <c r="AKL189" s="1360"/>
      <c r="AKM189" s="1360"/>
      <c r="AKN189" s="1362"/>
      <c r="AKO189" s="955"/>
      <c r="AKP189" s="963"/>
      <c r="AKQ189" s="2242"/>
      <c r="AKR189" s="1360"/>
      <c r="AKS189" s="1360"/>
      <c r="AKT189" s="1360"/>
      <c r="AKU189" s="1360"/>
      <c r="AKV189" s="1362"/>
      <c r="AKW189" s="955"/>
      <c r="AKX189" s="963"/>
      <c r="AKY189" s="2242"/>
      <c r="AKZ189" s="1360"/>
      <c r="ALA189" s="1360"/>
      <c r="ALB189" s="1360"/>
      <c r="ALC189" s="1360"/>
      <c r="ALD189" s="1362"/>
      <c r="ALE189" s="955"/>
      <c r="ALF189" s="963"/>
      <c r="ALG189" s="2242"/>
      <c r="ALH189" s="1360"/>
      <c r="ALI189" s="1360"/>
      <c r="ALJ189" s="1360"/>
      <c r="ALK189" s="1360"/>
      <c r="ALL189" s="1362"/>
      <c r="ALM189" s="955"/>
      <c r="ALN189" s="963"/>
      <c r="ALO189" s="2242"/>
      <c r="ALP189" s="1360"/>
      <c r="ALQ189" s="1360"/>
      <c r="ALR189" s="1360"/>
      <c r="ALS189" s="1360"/>
      <c r="ALT189" s="1362"/>
      <c r="ALU189" s="955"/>
      <c r="ALV189" s="963"/>
      <c r="ALW189" s="2242"/>
      <c r="ALX189" s="1360"/>
      <c r="ALY189" s="1360"/>
      <c r="ALZ189" s="1360"/>
      <c r="AMA189" s="1360"/>
      <c r="AMB189" s="1362"/>
      <c r="AMC189" s="955"/>
      <c r="AMD189" s="963"/>
      <c r="AME189" s="2242"/>
      <c r="AMF189" s="1360"/>
      <c r="AMG189" s="1360"/>
      <c r="AMH189" s="1360"/>
      <c r="AMI189" s="1360"/>
      <c r="AMJ189" s="1362"/>
      <c r="AMK189" s="955"/>
      <c r="AML189" s="963"/>
      <c r="AMM189" s="2242"/>
      <c r="AMN189" s="1360"/>
      <c r="AMO189" s="1360"/>
      <c r="AMP189" s="1360"/>
      <c r="AMQ189" s="1360"/>
      <c r="AMR189" s="1362"/>
      <c r="AMS189" s="955"/>
      <c r="AMT189" s="963"/>
      <c r="AMU189" s="2242"/>
      <c r="AMV189" s="1360"/>
      <c r="AMW189" s="1360"/>
      <c r="AMX189" s="1360"/>
      <c r="AMY189" s="1360"/>
      <c r="AMZ189" s="1362"/>
      <c r="ANA189" s="955"/>
      <c r="ANB189" s="963"/>
      <c r="ANC189" s="2242"/>
      <c r="AND189" s="1360"/>
      <c r="ANE189" s="1360"/>
      <c r="ANF189" s="1360"/>
      <c r="ANG189" s="1360"/>
      <c r="ANH189" s="1362"/>
      <c r="ANI189" s="955"/>
      <c r="ANJ189" s="963"/>
      <c r="ANK189" s="2242"/>
      <c r="ANL189" s="1360"/>
      <c r="ANM189" s="1360"/>
      <c r="ANN189" s="1360"/>
      <c r="ANO189" s="1360"/>
      <c r="ANP189" s="1362"/>
      <c r="ANQ189" s="955"/>
      <c r="ANR189" s="963"/>
      <c r="ANS189" s="2242"/>
      <c r="ANT189" s="1360"/>
      <c r="ANU189" s="1360"/>
      <c r="ANV189" s="1360"/>
      <c r="ANW189" s="1360"/>
      <c r="ANX189" s="1362"/>
      <c r="ANY189" s="955"/>
      <c r="ANZ189" s="963"/>
      <c r="AOA189" s="2242"/>
      <c r="AOB189" s="1360"/>
      <c r="AOC189" s="1360"/>
      <c r="AOD189" s="1360"/>
      <c r="AOE189" s="1360"/>
      <c r="AOF189" s="1362"/>
      <c r="AOG189" s="955"/>
      <c r="AOH189" s="963"/>
      <c r="AOI189" s="2242"/>
      <c r="AOJ189" s="1360"/>
      <c r="AOK189" s="1360"/>
      <c r="AOL189" s="1360"/>
      <c r="AOM189" s="1360"/>
      <c r="AON189" s="1362"/>
      <c r="AOO189" s="955"/>
      <c r="AOP189" s="963"/>
      <c r="AOQ189" s="2242"/>
      <c r="AOR189" s="1360"/>
      <c r="AOS189" s="1360"/>
      <c r="AOT189" s="1360"/>
      <c r="AOU189" s="1360"/>
      <c r="AOV189" s="1362"/>
      <c r="AOW189" s="955"/>
      <c r="AOX189" s="963"/>
      <c r="AOY189" s="2242"/>
      <c r="AOZ189" s="1360"/>
      <c r="APA189" s="1360"/>
      <c r="APB189" s="1360"/>
      <c r="APC189" s="1360"/>
      <c r="APD189" s="1362"/>
      <c r="APE189" s="955"/>
      <c r="APF189" s="963"/>
      <c r="APG189" s="2242"/>
      <c r="APH189" s="1360"/>
      <c r="API189" s="1360"/>
      <c r="APJ189" s="1360"/>
      <c r="APK189" s="1360"/>
      <c r="APL189" s="1362"/>
      <c r="APM189" s="955"/>
      <c r="APN189" s="963"/>
      <c r="APO189" s="2242"/>
      <c r="APP189" s="1360"/>
      <c r="APQ189" s="1360"/>
      <c r="APR189" s="1360"/>
      <c r="APS189" s="1360"/>
      <c r="APT189" s="1362"/>
      <c r="APU189" s="955"/>
      <c r="APV189" s="963"/>
      <c r="APW189" s="2242"/>
      <c r="APX189" s="1360"/>
      <c r="APY189" s="1360"/>
      <c r="APZ189" s="1360"/>
      <c r="AQA189" s="1360"/>
      <c r="AQB189" s="1362"/>
      <c r="AQC189" s="955"/>
      <c r="AQD189" s="963"/>
      <c r="AQE189" s="2242"/>
      <c r="AQF189" s="1360"/>
      <c r="AQG189" s="1360"/>
      <c r="AQH189" s="1360"/>
      <c r="AQI189" s="1360"/>
      <c r="AQJ189" s="1362"/>
      <c r="AQK189" s="955"/>
      <c r="AQL189" s="963"/>
      <c r="AQM189" s="2242"/>
      <c r="AQN189" s="1360"/>
      <c r="AQO189" s="1360"/>
      <c r="AQP189" s="1360"/>
      <c r="AQQ189" s="1360"/>
      <c r="AQR189" s="1362"/>
      <c r="AQS189" s="955"/>
      <c r="AQT189" s="963"/>
      <c r="AQU189" s="2242"/>
      <c r="AQV189" s="1360"/>
      <c r="AQW189" s="1360"/>
      <c r="AQX189" s="1360"/>
      <c r="AQY189" s="1360"/>
      <c r="AQZ189" s="1362"/>
      <c r="ARA189" s="955"/>
      <c r="ARB189" s="963"/>
      <c r="ARC189" s="2242"/>
      <c r="ARD189" s="1360"/>
      <c r="ARE189" s="1360"/>
      <c r="ARF189" s="1360"/>
      <c r="ARG189" s="1360"/>
      <c r="ARH189" s="1362"/>
      <c r="ARI189" s="955"/>
      <c r="ARJ189" s="963"/>
      <c r="ARK189" s="2242"/>
      <c r="ARL189" s="1360"/>
      <c r="ARM189" s="1360"/>
      <c r="ARN189" s="1360"/>
      <c r="ARO189" s="1360"/>
      <c r="ARP189" s="1362"/>
      <c r="ARQ189" s="955"/>
      <c r="ARR189" s="963"/>
      <c r="ARS189" s="2242"/>
      <c r="ART189" s="1360"/>
      <c r="ARU189" s="1360"/>
      <c r="ARV189" s="1360"/>
      <c r="ARW189" s="1360"/>
      <c r="ARX189" s="1362"/>
      <c r="ARY189" s="955"/>
      <c r="ARZ189" s="963"/>
      <c r="ASA189" s="2242"/>
      <c r="ASB189" s="1360"/>
      <c r="ASC189" s="1360"/>
      <c r="ASD189" s="1360"/>
      <c r="ASE189" s="1360"/>
      <c r="ASF189" s="1362"/>
      <c r="ASG189" s="955"/>
      <c r="ASH189" s="963"/>
      <c r="ASI189" s="2242"/>
      <c r="ASJ189" s="1360"/>
      <c r="ASK189" s="1360"/>
      <c r="ASL189" s="1360"/>
      <c r="ASM189" s="1360"/>
      <c r="ASN189" s="1362"/>
      <c r="ASO189" s="955"/>
      <c r="ASP189" s="963"/>
      <c r="ASQ189" s="2242"/>
      <c r="ASR189" s="1360"/>
      <c r="ASS189" s="1360"/>
      <c r="AST189" s="1360"/>
      <c r="ASU189" s="1360"/>
      <c r="ASV189" s="1362"/>
      <c r="ASW189" s="955"/>
      <c r="ASX189" s="963"/>
      <c r="ASY189" s="2242"/>
      <c r="ASZ189" s="1360"/>
      <c r="ATA189" s="1360"/>
      <c r="ATB189" s="1360"/>
      <c r="ATC189" s="1360"/>
      <c r="ATD189" s="1362"/>
      <c r="ATE189" s="955"/>
      <c r="ATF189" s="963"/>
      <c r="ATG189" s="2242"/>
      <c r="ATH189" s="1360"/>
      <c r="ATI189" s="1360"/>
      <c r="ATJ189" s="1360"/>
      <c r="ATK189" s="1360"/>
      <c r="ATL189" s="1362"/>
      <c r="ATM189" s="955"/>
      <c r="ATN189" s="963"/>
      <c r="ATO189" s="2242"/>
      <c r="ATP189" s="1360"/>
      <c r="ATQ189" s="1360"/>
      <c r="ATR189" s="1360"/>
      <c r="ATS189" s="1360"/>
      <c r="ATT189" s="1362"/>
      <c r="ATU189" s="955"/>
      <c r="ATV189" s="963"/>
      <c r="ATW189" s="2242"/>
      <c r="ATX189" s="1360"/>
      <c r="ATY189" s="1360"/>
      <c r="ATZ189" s="1360"/>
      <c r="AUA189" s="1360"/>
      <c r="AUB189" s="1362"/>
      <c r="AUC189" s="955"/>
      <c r="AUD189" s="963"/>
      <c r="AUE189" s="2242"/>
      <c r="AUF189" s="1360"/>
      <c r="AUG189" s="1360"/>
      <c r="AUH189" s="1360"/>
      <c r="AUI189" s="1360"/>
      <c r="AUJ189" s="1362"/>
      <c r="AUK189" s="955"/>
      <c r="AUL189" s="963"/>
      <c r="AUM189" s="2242"/>
      <c r="AUN189" s="1360"/>
      <c r="AUO189" s="1360"/>
      <c r="AUP189" s="1360"/>
      <c r="AUQ189" s="1360"/>
      <c r="AUR189" s="1362"/>
      <c r="AUS189" s="955"/>
      <c r="AUT189" s="963"/>
      <c r="AUU189" s="2242"/>
      <c r="AUV189" s="1360"/>
      <c r="AUW189" s="1360"/>
      <c r="AUX189" s="1360"/>
      <c r="AUY189" s="1360"/>
      <c r="AUZ189" s="1362"/>
      <c r="AVA189" s="955"/>
      <c r="AVB189" s="963"/>
      <c r="AVC189" s="2242"/>
      <c r="AVD189" s="1360"/>
      <c r="AVE189" s="1360"/>
      <c r="AVF189" s="1360"/>
      <c r="AVG189" s="1360"/>
      <c r="AVH189" s="1362"/>
      <c r="AVI189" s="955"/>
      <c r="AVJ189" s="963"/>
      <c r="AVK189" s="2242"/>
      <c r="AVL189" s="1360"/>
      <c r="AVM189" s="1360"/>
      <c r="AVN189" s="1360"/>
      <c r="AVO189" s="1360"/>
      <c r="AVP189" s="1362"/>
      <c r="AVQ189" s="955"/>
      <c r="AVR189" s="963"/>
      <c r="AVS189" s="2242"/>
      <c r="AVT189" s="1360"/>
      <c r="AVU189" s="1360"/>
      <c r="AVV189" s="1360"/>
      <c r="AVW189" s="1360"/>
      <c r="AVX189" s="1362"/>
      <c r="AVY189" s="955"/>
      <c r="AVZ189" s="963"/>
      <c r="AWA189" s="2242"/>
      <c r="AWB189" s="1360"/>
      <c r="AWC189" s="1360"/>
      <c r="AWD189" s="1360"/>
      <c r="AWE189" s="1360"/>
      <c r="AWF189" s="1362"/>
      <c r="AWG189" s="955"/>
      <c r="AWH189" s="963"/>
      <c r="AWI189" s="2242"/>
      <c r="AWJ189" s="1360"/>
      <c r="AWK189" s="1360"/>
      <c r="AWL189" s="1360"/>
      <c r="AWM189" s="1360"/>
      <c r="AWN189" s="1362"/>
      <c r="AWO189" s="955"/>
      <c r="AWP189" s="963"/>
      <c r="AWQ189" s="2242"/>
      <c r="AWR189" s="1360"/>
      <c r="AWS189" s="1360"/>
      <c r="AWT189" s="1360"/>
      <c r="AWU189" s="1360"/>
      <c r="AWV189" s="1362"/>
      <c r="AWW189" s="955"/>
      <c r="AWX189" s="963"/>
      <c r="AWY189" s="2242"/>
      <c r="AWZ189" s="1360"/>
      <c r="AXA189" s="1360"/>
      <c r="AXB189" s="1360"/>
      <c r="AXC189" s="1360"/>
      <c r="AXD189" s="1362"/>
      <c r="AXE189" s="955"/>
      <c r="AXF189" s="963"/>
      <c r="AXG189" s="2242"/>
      <c r="AXH189" s="1360"/>
      <c r="AXI189" s="1360"/>
      <c r="AXJ189" s="1360"/>
      <c r="AXK189" s="1360"/>
      <c r="AXL189" s="1362"/>
      <c r="AXM189" s="955"/>
      <c r="AXN189" s="963"/>
      <c r="AXO189" s="2242"/>
      <c r="AXP189" s="1360"/>
      <c r="AXQ189" s="1360"/>
      <c r="AXR189" s="1360"/>
      <c r="AXS189" s="1360"/>
      <c r="AXT189" s="1362"/>
      <c r="AXU189" s="955"/>
      <c r="AXV189" s="963"/>
      <c r="AXW189" s="2242"/>
      <c r="AXX189" s="1360"/>
      <c r="AXY189" s="1360"/>
      <c r="AXZ189" s="1360"/>
      <c r="AYA189" s="1360"/>
      <c r="AYB189" s="1362"/>
      <c r="AYC189" s="955"/>
      <c r="AYD189" s="963"/>
      <c r="AYE189" s="2242"/>
      <c r="AYF189" s="1360"/>
      <c r="AYG189" s="1360"/>
      <c r="AYH189" s="1360"/>
      <c r="AYI189" s="1360"/>
      <c r="AYJ189" s="1362"/>
      <c r="AYK189" s="955"/>
      <c r="AYL189" s="963"/>
      <c r="AYM189" s="2242"/>
      <c r="AYN189" s="1360"/>
      <c r="AYO189" s="1360"/>
      <c r="AYP189" s="1360"/>
      <c r="AYQ189" s="1360"/>
      <c r="AYR189" s="1362"/>
      <c r="AYS189" s="955"/>
      <c r="AYT189" s="963"/>
      <c r="AYU189" s="2242"/>
      <c r="AYV189" s="1360"/>
      <c r="AYW189" s="1360"/>
      <c r="AYX189" s="1360"/>
      <c r="AYY189" s="1360"/>
      <c r="AYZ189" s="1362"/>
      <c r="AZA189" s="955"/>
      <c r="AZB189" s="963"/>
      <c r="AZC189" s="2242"/>
      <c r="AZD189" s="1360"/>
      <c r="AZE189" s="1360"/>
      <c r="AZF189" s="1360"/>
      <c r="AZG189" s="1360"/>
      <c r="AZH189" s="1362"/>
      <c r="AZI189" s="955"/>
      <c r="AZJ189" s="963"/>
      <c r="AZK189" s="2242"/>
      <c r="AZL189" s="1360"/>
      <c r="AZM189" s="1360"/>
      <c r="AZN189" s="1360"/>
      <c r="AZO189" s="1360"/>
      <c r="AZP189" s="1362"/>
      <c r="AZQ189" s="955"/>
      <c r="AZR189" s="963"/>
      <c r="AZS189" s="2242"/>
      <c r="AZT189" s="1360"/>
      <c r="AZU189" s="1360"/>
      <c r="AZV189" s="1360"/>
      <c r="AZW189" s="1360"/>
      <c r="AZX189" s="1362"/>
      <c r="AZY189" s="955"/>
      <c r="AZZ189" s="963"/>
      <c r="BAA189" s="2242"/>
      <c r="BAB189" s="1360"/>
      <c r="BAC189" s="1360"/>
      <c r="BAD189" s="1360"/>
      <c r="BAE189" s="1360"/>
      <c r="BAF189" s="1362"/>
      <c r="BAG189" s="955"/>
      <c r="BAH189" s="963"/>
      <c r="BAI189" s="2242"/>
      <c r="BAJ189" s="1360"/>
      <c r="BAK189" s="1360"/>
      <c r="BAL189" s="1360"/>
      <c r="BAM189" s="1360"/>
      <c r="BAN189" s="1362"/>
      <c r="BAO189" s="955"/>
      <c r="BAP189" s="963"/>
      <c r="BAQ189" s="2242"/>
      <c r="BAR189" s="1360"/>
      <c r="BAS189" s="1360"/>
      <c r="BAT189" s="1360"/>
      <c r="BAU189" s="1360"/>
      <c r="BAV189" s="1362"/>
      <c r="BAW189" s="955"/>
      <c r="BAX189" s="963"/>
      <c r="BAY189" s="2242"/>
      <c r="BAZ189" s="1360"/>
      <c r="BBA189" s="1360"/>
      <c r="BBB189" s="1360"/>
      <c r="BBC189" s="1360"/>
      <c r="BBD189" s="1362"/>
      <c r="BBE189" s="955"/>
      <c r="BBF189" s="963"/>
      <c r="BBG189" s="2242"/>
      <c r="BBH189" s="1360"/>
      <c r="BBI189" s="1360"/>
      <c r="BBJ189" s="1360"/>
      <c r="BBK189" s="1360"/>
      <c r="BBL189" s="1362"/>
      <c r="BBM189" s="955"/>
      <c r="BBN189" s="963"/>
      <c r="BBO189" s="2242"/>
      <c r="BBP189" s="1360"/>
      <c r="BBQ189" s="1360"/>
      <c r="BBR189" s="1360"/>
      <c r="BBS189" s="1360"/>
      <c r="BBT189" s="1362"/>
      <c r="BBU189" s="955"/>
      <c r="BBV189" s="963"/>
      <c r="BBW189" s="2242"/>
      <c r="BBX189" s="1360"/>
      <c r="BBY189" s="1360"/>
      <c r="BBZ189" s="1360"/>
      <c r="BCA189" s="1360"/>
      <c r="BCB189" s="1362"/>
      <c r="BCC189" s="955"/>
      <c r="BCD189" s="963"/>
      <c r="BCE189" s="2242"/>
      <c r="BCF189" s="1360"/>
      <c r="BCG189" s="1360"/>
      <c r="BCH189" s="1360"/>
      <c r="BCI189" s="1360"/>
      <c r="BCJ189" s="1362"/>
      <c r="BCK189" s="955"/>
      <c r="BCL189" s="963"/>
      <c r="BCM189" s="2242"/>
      <c r="BCN189" s="1360"/>
      <c r="BCO189" s="1360"/>
      <c r="BCP189" s="1360"/>
      <c r="BCQ189" s="1360"/>
      <c r="BCR189" s="1362"/>
      <c r="BCS189" s="955"/>
      <c r="BCT189" s="963"/>
      <c r="BCU189" s="2242"/>
      <c r="BCV189" s="1360"/>
      <c r="BCW189" s="1360"/>
      <c r="BCX189" s="1360"/>
      <c r="BCY189" s="1360"/>
      <c r="BCZ189" s="1362"/>
      <c r="BDA189" s="955"/>
      <c r="BDB189" s="963"/>
      <c r="BDC189" s="2242"/>
      <c r="BDD189" s="1360"/>
      <c r="BDE189" s="1360"/>
      <c r="BDF189" s="1360"/>
      <c r="BDG189" s="1360"/>
      <c r="BDH189" s="1362"/>
      <c r="BDI189" s="955"/>
      <c r="BDJ189" s="963"/>
      <c r="BDK189" s="2242"/>
      <c r="BDL189" s="1360"/>
      <c r="BDM189" s="1360"/>
      <c r="BDN189" s="1360"/>
      <c r="BDO189" s="1360"/>
      <c r="BDP189" s="1362"/>
      <c r="BDQ189" s="955"/>
      <c r="BDR189" s="963"/>
      <c r="BDS189" s="2242"/>
      <c r="BDT189" s="1360"/>
      <c r="BDU189" s="1360"/>
      <c r="BDV189" s="1360"/>
      <c r="BDW189" s="1360"/>
      <c r="BDX189" s="1362"/>
      <c r="BDY189" s="955"/>
      <c r="BDZ189" s="963"/>
      <c r="BEA189" s="2242"/>
      <c r="BEB189" s="1360"/>
      <c r="BEC189" s="1360"/>
      <c r="BED189" s="1360"/>
      <c r="BEE189" s="1360"/>
      <c r="BEF189" s="1362"/>
      <c r="BEG189" s="955"/>
      <c r="BEH189" s="963"/>
      <c r="BEI189" s="2242"/>
      <c r="BEJ189" s="1360"/>
      <c r="BEK189" s="1360"/>
      <c r="BEL189" s="1360"/>
      <c r="BEM189" s="1360"/>
      <c r="BEN189" s="1362"/>
      <c r="BEO189" s="955"/>
      <c r="BEP189" s="963"/>
      <c r="BEQ189" s="2242"/>
      <c r="BER189" s="1360"/>
      <c r="BES189" s="1360"/>
      <c r="BET189" s="1360"/>
      <c r="BEU189" s="1360"/>
      <c r="BEV189" s="1362"/>
      <c r="BEW189" s="955"/>
      <c r="BEX189" s="963"/>
      <c r="BEY189" s="2242"/>
      <c r="BEZ189" s="1360"/>
      <c r="BFA189" s="1360"/>
      <c r="BFB189" s="1360"/>
      <c r="BFC189" s="1360"/>
      <c r="BFD189" s="1362"/>
      <c r="BFE189" s="955"/>
      <c r="BFF189" s="963"/>
      <c r="BFG189" s="2242"/>
      <c r="BFH189" s="1360"/>
      <c r="BFI189" s="1360"/>
      <c r="BFJ189" s="1360"/>
      <c r="BFK189" s="1360"/>
      <c r="BFL189" s="1362"/>
      <c r="BFM189" s="955"/>
      <c r="BFN189" s="963"/>
      <c r="BFO189" s="2242"/>
      <c r="BFP189" s="1360"/>
      <c r="BFQ189" s="1360"/>
      <c r="BFR189" s="1360"/>
      <c r="BFS189" s="1360"/>
      <c r="BFT189" s="1362"/>
      <c r="BFU189" s="955"/>
      <c r="BFV189" s="963"/>
      <c r="BFW189" s="2242"/>
      <c r="BFX189" s="1360"/>
      <c r="BFY189" s="1360"/>
      <c r="BFZ189" s="1360"/>
      <c r="BGA189" s="1360"/>
      <c r="BGB189" s="1362"/>
      <c r="BGC189" s="955"/>
      <c r="BGD189" s="963"/>
      <c r="BGE189" s="2242"/>
      <c r="BGF189" s="1360"/>
      <c r="BGG189" s="1360"/>
      <c r="BGH189" s="1360"/>
      <c r="BGI189" s="1360"/>
      <c r="BGJ189" s="1362"/>
      <c r="BGK189" s="955"/>
      <c r="BGL189" s="963"/>
      <c r="BGM189" s="2242"/>
      <c r="BGN189" s="1360"/>
      <c r="BGO189" s="1360"/>
      <c r="BGP189" s="1360"/>
      <c r="BGQ189" s="1360"/>
      <c r="BGR189" s="1362"/>
      <c r="BGS189" s="955"/>
      <c r="BGT189" s="963"/>
      <c r="BGU189" s="2242"/>
      <c r="BGV189" s="1360"/>
      <c r="BGW189" s="1360"/>
      <c r="BGX189" s="1360"/>
      <c r="BGY189" s="1360"/>
      <c r="BGZ189" s="1362"/>
      <c r="BHA189" s="955"/>
      <c r="BHB189" s="963"/>
      <c r="BHC189" s="2242"/>
      <c r="BHD189" s="1360"/>
      <c r="BHE189" s="1360"/>
      <c r="BHF189" s="1360"/>
      <c r="BHG189" s="1360"/>
      <c r="BHH189" s="1362"/>
      <c r="BHI189" s="955"/>
      <c r="BHJ189" s="963"/>
      <c r="BHK189" s="2242"/>
      <c r="BHL189" s="1360"/>
      <c r="BHM189" s="1360"/>
      <c r="BHN189" s="1360"/>
      <c r="BHO189" s="1360"/>
      <c r="BHP189" s="1362"/>
      <c r="BHQ189" s="955"/>
      <c r="BHR189" s="963"/>
      <c r="BHS189" s="2242"/>
      <c r="BHT189" s="1360"/>
      <c r="BHU189" s="1360"/>
      <c r="BHV189" s="1360"/>
      <c r="BHW189" s="1360"/>
      <c r="BHX189" s="1362"/>
      <c r="BHY189" s="955"/>
      <c r="BHZ189" s="963"/>
      <c r="BIA189" s="2242"/>
      <c r="BIB189" s="1360"/>
      <c r="BIC189" s="1360"/>
      <c r="BID189" s="1360"/>
      <c r="BIE189" s="1360"/>
      <c r="BIF189" s="1362"/>
      <c r="BIG189" s="955"/>
      <c r="BIH189" s="963"/>
      <c r="BII189" s="2242"/>
      <c r="BIJ189" s="1360"/>
      <c r="BIK189" s="1360"/>
      <c r="BIL189" s="1360"/>
      <c r="BIM189" s="1360"/>
      <c r="BIN189" s="1362"/>
      <c r="BIO189" s="955"/>
      <c r="BIP189" s="963"/>
      <c r="BIQ189" s="2242"/>
      <c r="BIR189" s="1360"/>
      <c r="BIS189" s="1360"/>
      <c r="BIT189" s="1360"/>
      <c r="BIU189" s="1360"/>
      <c r="BIV189" s="1362"/>
      <c r="BIW189" s="955"/>
      <c r="BIX189" s="963"/>
      <c r="BIY189" s="2242"/>
      <c r="BIZ189" s="1360"/>
      <c r="BJA189" s="1360"/>
      <c r="BJB189" s="1360"/>
      <c r="BJC189" s="1360"/>
      <c r="BJD189" s="1362"/>
      <c r="BJE189" s="955"/>
      <c r="BJF189" s="963"/>
      <c r="BJG189" s="2242"/>
      <c r="BJH189" s="1360"/>
      <c r="BJI189" s="1360"/>
      <c r="BJJ189" s="1360"/>
      <c r="BJK189" s="1360"/>
      <c r="BJL189" s="1362"/>
      <c r="BJM189" s="955"/>
      <c r="BJN189" s="963"/>
      <c r="BJO189" s="2242"/>
      <c r="BJP189" s="1360"/>
      <c r="BJQ189" s="1360"/>
      <c r="BJR189" s="1360"/>
      <c r="BJS189" s="1360"/>
      <c r="BJT189" s="1362"/>
      <c r="BJU189" s="955"/>
      <c r="BJV189" s="963"/>
      <c r="BJW189" s="2242"/>
      <c r="BJX189" s="1360"/>
      <c r="BJY189" s="1360"/>
      <c r="BJZ189" s="1360"/>
      <c r="BKA189" s="1360"/>
      <c r="BKB189" s="1362"/>
      <c r="BKC189" s="955"/>
      <c r="BKD189" s="963"/>
      <c r="BKE189" s="2242"/>
      <c r="BKF189" s="1360"/>
      <c r="BKG189" s="1360"/>
      <c r="BKH189" s="1360"/>
      <c r="BKI189" s="1360"/>
      <c r="BKJ189" s="1362"/>
      <c r="BKK189" s="955"/>
      <c r="BKL189" s="963"/>
      <c r="BKM189" s="2242"/>
      <c r="BKN189" s="1360"/>
      <c r="BKO189" s="1360"/>
      <c r="BKP189" s="1360"/>
      <c r="BKQ189" s="1360"/>
      <c r="BKR189" s="1362"/>
      <c r="BKS189" s="955"/>
      <c r="BKT189" s="963"/>
      <c r="BKU189" s="2242"/>
      <c r="BKV189" s="1360"/>
      <c r="BKW189" s="1360"/>
      <c r="BKX189" s="1360"/>
      <c r="BKY189" s="1360"/>
      <c r="BKZ189" s="1362"/>
      <c r="BLA189" s="955"/>
      <c r="BLB189" s="963"/>
      <c r="BLC189" s="2242"/>
      <c r="BLD189" s="1360"/>
      <c r="BLE189" s="1360"/>
      <c r="BLF189" s="1360"/>
      <c r="BLG189" s="1360"/>
      <c r="BLH189" s="1362"/>
      <c r="BLI189" s="955"/>
      <c r="BLJ189" s="963"/>
      <c r="BLK189" s="2242"/>
      <c r="BLL189" s="1360"/>
      <c r="BLM189" s="1360"/>
      <c r="BLN189" s="1360"/>
      <c r="BLO189" s="1360"/>
      <c r="BLP189" s="1362"/>
      <c r="BLQ189" s="955"/>
      <c r="BLR189" s="963"/>
      <c r="BLS189" s="2242"/>
      <c r="BLT189" s="1360"/>
      <c r="BLU189" s="1360"/>
      <c r="BLV189" s="1360"/>
      <c r="BLW189" s="1360"/>
      <c r="BLX189" s="1362"/>
      <c r="BLY189" s="955"/>
      <c r="BLZ189" s="963"/>
      <c r="BMA189" s="2242"/>
      <c r="BMB189" s="1360"/>
      <c r="BMC189" s="1360"/>
      <c r="BMD189" s="1360"/>
      <c r="BME189" s="1360"/>
      <c r="BMF189" s="1362"/>
      <c r="BMG189" s="955"/>
      <c r="BMH189" s="963"/>
      <c r="BMI189" s="2242"/>
      <c r="BMJ189" s="1360"/>
      <c r="BMK189" s="1360"/>
      <c r="BML189" s="1360"/>
      <c r="BMM189" s="1360"/>
      <c r="BMN189" s="1362"/>
      <c r="BMO189" s="955"/>
      <c r="BMP189" s="963"/>
      <c r="BMQ189" s="2242"/>
      <c r="BMR189" s="1360"/>
      <c r="BMS189" s="1360"/>
      <c r="BMT189" s="1360"/>
      <c r="BMU189" s="1360"/>
      <c r="BMV189" s="1362"/>
      <c r="BMW189" s="955"/>
      <c r="BMX189" s="963"/>
      <c r="BMY189" s="2242"/>
      <c r="BMZ189" s="1360"/>
      <c r="BNA189" s="1360"/>
      <c r="BNB189" s="1360"/>
      <c r="BNC189" s="1360"/>
      <c r="BND189" s="1362"/>
      <c r="BNE189" s="955"/>
      <c r="BNF189" s="963"/>
      <c r="BNG189" s="2242"/>
      <c r="BNH189" s="1360"/>
      <c r="BNI189" s="1360"/>
      <c r="BNJ189" s="1360"/>
      <c r="BNK189" s="1360"/>
      <c r="BNL189" s="1362"/>
      <c r="BNM189" s="955"/>
      <c r="BNN189" s="963"/>
      <c r="BNO189" s="2242"/>
      <c r="BNP189" s="1360"/>
      <c r="BNQ189" s="1360"/>
      <c r="BNR189" s="1360"/>
      <c r="BNS189" s="1360"/>
      <c r="BNT189" s="1362"/>
      <c r="BNU189" s="955"/>
      <c r="BNV189" s="963"/>
      <c r="BNW189" s="2242"/>
      <c r="BNX189" s="1360"/>
      <c r="BNY189" s="1360"/>
      <c r="BNZ189" s="1360"/>
      <c r="BOA189" s="1360"/>
      <c r="BOB189" s="1362"/>
      <c r="BOC189" s="955"/>
      <c r="BOD189" s="963"/>
      <c r="BOE189" s="2242"/>
      <c r="BOF189" s="1360"/>
      <c r="BOG189" s="1360"/>
      <c r="BOH189" s="1360"/>
      <c r="BOI189" s="1360"/>
      <c r="BOJ189" s="1362"/>
      <c r="BOK189" s="955"/>
      <c r="BOL189" s="963"/>
      <c r="BOM189" s="2242"/>
      <c r="BON189" s="1360"/>
      <c r="BOO189" s="1360"/>
      <c r="BOP189" s="1360"/>
      <c r="BOQ189" s="1360"/>
      <c r="BOR189" s="1362"/>
      <c r="BOS189" s="955"/>
      <c r="BOT189" s="963"/>
      <c r="BOU189" s="2242"/>
      <c r="BOV189" s="1360"/>
      <c r="BOW189" s="1360"/>
      <c r="BOX189" s="1360"/>
      <c r="BOY189" s="1360"/>
      <c r="BOZ189" s="1362"/>
      <c r="BPA189" s="955"/>
      <c r="BPB189" s="963"/>
      <c r="BPC189" s="2242"/>
      <c r="BPD189" s="1360"/>
      <c r="BPE189" s="1360"/>
      <c r="BPF189" s="1360"/>
      <c r="BPG189" s="1360"/>
      <c r="BPH189" s="1362"/>
      <c r="BPI189" s="955"/>
      <c r="BPJ189" s="963"/>
      <c r="BPK189" s="2242"/>
      <c r="BPL189" s="1360"/>
      <c r="BPM189" s="1360"/>
      <c r="BPN189" s="1360"/>
      <c r="BPO189" s="1360"/>
      <c r="BPP189" s="1362"/>
      <c r="BPQ189" s="955"/>
      <c r="BPR189" s="963"/>
      <c r="BPS189" s="2242"/>
      <c r="BPT189" s="1360"/>
      <c r="BPU189" s="1360"/>
      <c r="BPV189" s="1360"/>
      <c r="BPW189" s="1360"/>
      <c r="BPX189" s="1362"/>
      <c r="BPY189" s="955"/>
      <c r="BPZ189" s="963"/>
      <c r="BQA189" s="2242"/>
      <c r="BQB189" s="1360"/>
      <c r="BQC189" s="1360"/>
      <c r="BQD189" s="1360"/>
      <c r="BQE189" s="1360"/>
      <c r="BQF189" s="1362"/>
      <c r="BQG189" s="955"/>
      <c r="BQH189" s="963"/>
      <c r="BQI189" s="2242"/>
      <c r="BQJ189" s="1360"/>
      <c r="BQK189" s="1360"/>
      <c r="BQL189" s="1360"/>
      <c r="BQM189" s="1360"/>
      <c r="BQN189" s="1362"/>
      <c r="BQO189" s="955"/>
      <c r="BQP189" s="963"/>
      <c r="BQQ189" s="2242"/>
      <c r="BQR189" s="1360"/>
      <c r="BQS189" s="1360"/>
      <c r="BQT189" s="1360"/>
      <c r="BQU189" s="1360"/>
      <c r="BQV189" s="1362"/>
      <c r="BQW189" s="955"/>
      <c r="BQX189" s="963"/>
      <c r="BQY189" s="2242"/>
      <c r="BQZ189" s="1360"/>
      <c r="BRA189" s="1360"/>
      <c r="BRB189" s="1360"/>
      <c r="BRC189" s="1360"/>
      <c r="BRD189" s="1362"/>
      <c r="BRE189" s="955"/>
      <c r="BRF189" s="963"/>
      <c r="BRG189" s="2242"/>
      <c r="BRH189" s="1360"/>
      <c r="BRI189" s="1360"/>
      <c r="BRJ189" s="1360"/>
      <c r="BRK189" s="1360"/>
      <c r="BRL189" s="1362"/>
      <c r="BRM189" s="955"/>
      <c r="BRN189" s="963"/>
      <c r="BRO189" s="2242"/>
      <c r="BRP189" s="1360"/>
      <c r="BRQ189" s="1360"/>
      <c r="BRR189" s="1360"/>
      <c r="BRS189" s="1360"/>
      <c r="BRT189" s="1362"/>
      <c r="BRU189" s="955"/>
      <c r="BRV189" s="963"/>
      <c r="BRW189" s="2242"/>
      <c r="BRX189" s="1360"/>
      <c r="BRY189" s="1360"/>
      <c r="BRZ189" s="1360"/>
      <c r="BSA189" s="1360"/>
      <c r="BSB189" s="1362"/>
      <c r="BSC189" s="955"/>
      <c r="BSD189" s="963"/>
      <c r="BSE189" s="2242"/>
      <c r="BSF189" s="1360"/>
      <c r="BSG189" s="1360"/>
      <c r="BSH189" s="1360"/>
      <c r="BSI189" s="1360"/>
      <c r="BSJ189" s="1362"/>
      <c r="BSK189" s="955"/>
      <c r="BSL189" s="963"/>
      <c r="BSM189" s="2242"/>
      <c r="BSN189" s="1360"/>
      <c r="BSO189" s="1360"/>
      <c r="BSP189" s="1360"/>
      <c r="BSQ189" s="1360"/>
      <c r="BSR189" s="1362"/>
      <c r="BSS189" s="955"/>
      <c r="BST189" s="963"/>
      <c r="BSU189" s="2242"/>
      <c r="BSV189" s="1360"/>
      <c r="BSW189" s="1360"/>
      <c r="BSX189" s="1360"/>
      <c r="BSY189" s="1360"/>
      <c r="BSZ189" s="1362"/>
      <c r="BTA189" s="955"/>
      <c r="BTB189" s="963"/>
      <c r="BTC189" s="2242"/>
      <c r="BTD189" s="1360"/>
      <c r="BTE189" s="1360"/>
      <c r="BTF189" s="1360"/>
      <c r="BTG189" s="1360"/>
      <c r="BTH189" s="1362"/>
      <c r="BTI189" s="955"/>
      <c r="BTJ189" s="963"/>
      <c r="BTK189" s="2242"/>
      <c r="BTL189" s="1360"/>
      <c r="BTM189" s="1360"/>
      <c r="BTN189" s="1360"/>
      <c r="BTO189" s="1360"/>
      <c r="BTP189" s="1362"/>
      <c r="BTQ189" s="955"/>
      <c r="BTR189" s="963"/>
      <c r="BTS189" s="2242"/>
      <c r="BTT189" s="1360"/>
      <c r="BTU189" s="1360"/>
      <c r="BTV189" s="1360"/>
      <c r="BTW189" s="1360"/>
      <c r="BTX189" s="1362"/>
      <c r="BTY189" s="955"/>
      <c r="BTZ189" s="963"/>
      <c r="BUA189" s="2242"/>
      <c r="BUB189" s="1360"/>
      <c r="BUC189" s="1360"/>
      <c r="BUD189" s="1360"/>
      <c r="BUE189" s="1360"/>
      <c r="BUF189" s="1362"/>
      <c r="BUG189" s="955"/>
      <c r="BUH189" s="963"/>
      <c r="BUI189" s="2242"/>
      <c r="BUJ189" s="1360"/>
      <c r="BUK189" s="1360"/>
      <c r="BUL189" s="1360"/>
      <c r="BUM189" s="1360"/>
      <c r="BUN189" s="1362"/>
      <c r="BUO189" s="955"/>
      <c r="BUP189" s="963"/>
      <c r="BUQ189" s="2242"/>
      <c r="BUR189" s="1360"/>
      <c r="BUS189" s="1360"/>
      <c r="BUT189" s="1360"/>
      <c r="BUU189" s="1360"/>
      <c r="BUV189" s="1362"/>
      <c r="BUW189" s="955"/>
      <c r="BUX189" s="963"/>
      <c r="BUY189" s="2242"/>
      <c r="BUZ189" s="1360"/>
      <c r="BVA189" s="1360"/>
      <c r="BVB189" s="1360"/>
      <c r="BVC189" s="1360"/>
      <c r="BVD189" s="1362"/>
      <c r="BVE189" s="955"/>
      <c r="BVF189" s="963"/>
      <c r="BVG189" s="2242"/>
      <c r="BVH189" s="1360"/>
      <c r="BVI189" s="1360"/>
      <c r="BVJ189" s="1360"/>
      <c r="BVK189" s="1360"/>
      <c r="BVL189" s="1362"/>
      <c r="BVM189" s="955"/>
      <c r="BVN189" s="963"/>
      <c r="BVO189" s="2242"/>
      <c r="BVP189" s="1360"/>
      <c r="BVQ189" s="1360"/>
      <c r="BVR189" s="1360"/>
      <c r="BVS189" s="1360"/>
      <c r="BVT189" s="1362"/>
      <c r="BVU189" s="955"/>
      <c r="BVV189" s="963"/>
      <c r="BVW189" s="2242"/>
      <c r="BVX189" s="1360"/>
      <c r="BVY189" s="1360"/>
      <c r="BVZ189" s="1360"/>
      <c r="BWA189" s="1360"/>
      <c r="BWB189" s="1362"/>
      <c r="BWC189" s="955"/>
      <c r="BWD189" s="963"/>
      <c r="BWE189" s="2242"/>
      <c r="BWF189" s="1360"/>
      <c r="BWG189" s="1360"/>
      <c r="BWH189" s="1360"/>
      <c r="BWI189" s="1360"/>
      <c r="BWJ189" s="1362"/>
      <c r="BWK189" s="955"/>
      <c r="BWL189" s="963"/>
      <c r="BWM189" s="2242"/>
      <c r="BWN189" s="1360"/>
      <c r="BWO189" s="1360"/>
      <c r="BWP189" s="1360"/>
      <c r="BWQ189" s="1360"/>
      <c r="BWR189" s="1362"/>
      <c r="BWS189" s="955"/>
      <c r="BWT189" s="963"/>
      <c r="BWU189" s="2242"/>
      <c r="BWV189" s="1360"/>
      <c r="BWW189" s="1360"/>
      <c r="BWX189" s="1360"/>
      <c r="BWY189" s="1360"/>
      <c r="BWZ189" s="1362"/>
      <c r="BXA189" s="955"/>
      <c r="BXB189" s="963"/>
      <c r="BXC189" s="2242"/>
      <c r="BXD189" s="1360"/>
      <c r="BXE189" s="1360"/>
      <c r="BXF189" s="1360"/>
      <c r="BXG189" s="1360"/>
      <c r="BXH189" s="1362"/>
      <c r="BXI189" s="955"/>
      <c r="BXJ189" s="963"/>
      <c r="BXK189" s="2242"/>
      <c r="BXL189" s="1360"/>
      <c r="BXM189" s="1360"/>
      <c r="BXN189" s="1360"/>
      <c r="BXO189" s="1360"/>
      <c r="BXP189" s="1362"/>
      <c r="BXQ189" s="955"/>
      <c r="BXR189" s="963"/>
      <c r="BXS189" s="2242"/>
      <c r="BXT189" s="1360"/>
      <c r="BXU189" s="1360"/>
      <c r="BXV189" s="1360"/>
      <c r="BXW189" s="1360"/>
      <c r="BXX189" s="1362"/>
      <c r="BXY189" s="955"/>
      <c r="BXZ189" s="963"/>
      <c r="BYA189" s="2242"/>
      <c r="BYB189" s="1360"/>
      <c r="BYC189" s="1360"/>
      <c r="BYD189" s="1360"/>
      <c r="BYE189" s="1360"/>
      <c r="BYF189" s="1362"/>
      <c r="BYG189" s="955"/>
      <c r="BYH189" s="963"/>
      <c r="BYI189" s="2242"/>
      <c r="BYJ189" s="1360"/>
      <c r="BYK189" s="1360"/>
      <c r="BYL189" s="1360"/>
      <c r="BYM189" s="1360"/>
      <c r="BYN189" s="1362"/>
      <c r="BYO189" s="955"/>
      <c r="BYP189" s="963"/>
      <c r="BYQ189" s="2242"/>
      <c r="BYR189" s="1360"/>
      <c r="BYS189" s="1360"/>
      <c r="BYT189" s="1360"/>
      <c r="BYU189" s="1360"/>
      <c r="BYV189" s="1362"/>
      <c r="BYW189" s="955"/>
      <c r="BYX189" s="963"/>
      <c r="BYY189" s="2242"/>
      <c r="BYZ189" s="1360"/>
      <c r="BZA189" s="1360"/>
      <c r="BZB189" s="1360"/>
      <c r="BZC189" s="1360"/>
      <c r="BZD189" s="1362"/>
      <c r="BZE189" s="955"/>
      <c r="BZF189" s="963"/>
      <c r="BZG189" s="2242"/>
      <c r="BZH189" s="1360"/>
      <c r="BZI189" s="1360"/>
      <c r="BZJ189" s="1360"/>
      <c r="BZK189" s="1360"/>
      <c r="BZL189" s="1362"/>
      <c r="BZM189" s="955"/>
      <c r="BZN189" s="963"/>
      <c r="BZO189" s="2242"/>
      <c r="BZP189" s="1360"/>
      <c r="BZQ189" s="1360"/>
      <c r="BZR189" s="1360"/>
      <c r="BZS189" s="1360"/>
      <c r="BZT189" s="1362"/>
      <c r="BZU189" s="955"/>
      <c r="BZV189" s="963"/>
      <c r="BZW189" s="2242"/>
      <c r="BZX189" s="1360"/>
      <c r="BZY189" s="1360"/>
      <c r="BZZ189" s="1360"/>
      <c r="CAA189" s="1360"/>
      <c r="CAB189" s="1362"/>
      <c r="CAC189" s="955"/>
      <c r="CAD189" s="963"/>
      <c r="CAE189" s="2242"/>
      <c r="CAF189" s="1360"/>
      <c r="CAG189" s="1360"/>
      <c r="CAH189" s="1360"/>
      <c r="CAI189" s="1360"/>
      <c r="CAJ189" s="1362"/>
      <c r="CAK189" s="955"/>
      <c r="CAL189" s="963"/>
      <c r="CAM189" s="2242"/>
      <c r="CAN189" s="1360"/>
      <c r="CAO189" s="1360"/>
      <c r="CAP189" s="1360"/>
      <c r="CAQ189" s="1360"/>
      <c r="CAR189" s="1362"/>
      <c r="CAS189" s="955"/>
      <c r="CAT189" s="963"/>
      <c r="CAU189" s="2242"/>
      <c r="CAV189" s="1360"/>
      <c r="CAW189" s="1360"/>
      <c r="CAX189" s="1360"/>
      <c r="CAY189" s="1360"/>
      <c r="CAZ189" s="1362"/>
      <c r="CBA189" s="955"/>
      <c r="CBB189" s="963"/>
      <c r="CBC189" s="2242"/>
      <c r="CBD189" s="1360"/>
      <c r="CBE189" s="1360"/>
      <c r="CBF189" s="1360"/>
      <c r="CBG189" s="1360"/>
      <c r="CBH189" s="1362"/>
      <c r="CBI189" s="955"/>
      <c r="CBJ189" s="963"/>
      <c r="CBK189" s="2242"/>
      <c r="CBL189" s="1360"/>
      <c r="CBM189" s="1360"/>
      <c r="CBN189" s="1360"/>
      <c r="CBO189" s="1360"/>
      <c r="CBP189" s="1362"/>
      <c r="CBQ189" s="955"/>
      <c r="CBR189" s="963"/>
      <c r="CBS189" s="2242"/>
      <c r="CBT189" s="1360"/>
      <c r="CBU189" s="1360"/>
      <c r="CBV189" s="1360"/>
      <c r="CBW189" s="1360"/>
      <c r="CBX189" s="1362"/>
      <c r="CBY189" s="955"/>
      <c r="CBZ189" s="963"/>
      <c r="CCA189" s="2242"/>
      <c r="CCB189" s="1360"/>
      <c r="CCC189" s="1360"/>
      <c r="CCD189" s="1360"/>
      <c r="CCE189" s="1360"/>
      <c r="CCF189" s="1362"/>
      <c r="CCG189" s="955"/>
      <c r="CCH189" s="963"/>
      <c r="CCI189" s="2242"/>
      <c r="CCJ189" s="1360"/>
      <c r="CCK189" s="1360"/>
      <c r="CCL189" s="1360"/>
      <c r="CCM189" s="1360"/>
      <c r="CCN189" s="1362"/>
      <c r="CCO189" s="955"/>
      <c r="CCP189" s="963"/>
      <c r="CCQ189" s="2242"/>
      <c r="CCR189" s="1360"/>
      <c r="CCS189" s="1360"/>
      <c r="CCT189" s="1360"/>
      <c r="CCU189" s="1360"/>
      <c r="CCV189" s="1362"/>
      <c r="CCW189" s="955"/>
      <c r="CCX189" s="963"/>
      <c r="CCY189" s="2242"/>
      <c r="CCZ189" s="1360"/>
      <c r="CDA189" s="1360"/>
      <c r="CDB189" s="1360"/>
      <c r="CDC189" s="1360"/>
      <c r="CDD189" s="1362"/>
      <c r="CDE189" s="955"/>
      <c r="CDF189" s="963"/>
      <c r="CDG189" s="2242"/>
      <c r="CDH189" s="1360"/>
      <c r="CDI189" s="1360"/>
      <c r="CDJ189" s="1360"/>
      <c r="CDK189" s="1360"/>
      <c r="CDL189" s="1362"/>
      <c r="CDM189" s="955"/>
      <c r="CDN189" s="963"/>
      <c r="CDO189" s="2242"/>
      <c r="CDP189" s="1360"/>
      <c r="CDQ189" s="1360"/>
      <c r="CDR189" s="1360"/>
      <c r="CDS189" s="1360"/>
      <c r="CDT189" s="1362"/>
      <c r="CDU189" s="955"/>
      <c r="CDV189" s="963"/>
      <c r="CDW189" s="2242"/>
      <c r="CDX189" s="1360"/>
      <c r="CDY189" s="1360"/>
      <c r="CDZ189" s="1360"/>
      <c r="CEA189" s="1360"/>
      <c r="CEB189" s="1362"/>
      <c r="CEC189" s="955"/>
      <c r="CED189" s="963"/>
      <c r="CEE189" s="2242"/>
      <c r="CEF189" s="1360"/>
      <c r="CEG189" s="1360"/>
      <c r="CEH189" s="1360"/>
      <c r="CEI189" s="1360"/>
      <c r="CEJ189" s="1362"/>
      <c r="CEK189" s="955"/>
      <c r="CEL189" s="963"/>
      <c r="CEM189" s="2242"/>
      <c r="CEN189" s="1360"/>
      <c r="CEO189" s="1360"/>
      <c r="CEP189" s="1360"/>
      <c r="CEQ189" s="1360"/>
      <c r="CER189" s="1362"/>
      <c r="CES189" s="955"/>
      <c r="CET189" s="963"/>
      <c r="CEU189" s="2242"/>
      <c r="CEV189" s="1360"/>
      <c r="CEW189" s="1360"/>
      <c r="CEX189" s="1360"/>
      <c r="CEY189" s="1360"/>
      <c r="CEZ189" s="1362"/>
      <c r="CFA189" s="955"/>
      <c r="CFB189" s="963"/>
      <c r="CFC189" s="2242"/>
      <c r="CFD189" s="1360"/>
      <c r="CFE189" s="1360"/>
      <c r="CFF189" s="1360"/>
      <c r="CFG189" s="1360"/>
      <c r="CFH189" s="1362"/>
      <c r="CFI189" s="955"/>
      <c r="CFJ189" s="963"/>
      <c r="CFK189" s="2242"/>
      <c r="CFL189" s="1360"/>
      <c r="CFM189" s="1360"/>
      <c r="CFN189" s="1360"/>
      <c r="CFO189" s="1360"/>
      <c r="CFP189" s="1362"/>
      <c r="CFQ189" s="955"/>
      <c r="CFR189" s="963"/>
      <c r="CFS189" s="2242"/>
      <c r="CFT189" s="1360"/>
      <c r="CFU189" s="1360"/>
      <c r="CFV189" s="1360"/>
      <c r="CFW189" s="1360"/>
      <c r="CFX189" s="1362"/>
      <c r="CFY189" s="955"/>
      <c r="CFZ189" s="963"/>
      <c r="CGA189" s="2242"/>
      <c r="CGB189" s="1360"/>
      <c r="CGC189" s="1360"/>
      <c r="CGD189" s="1360"/>
      <c r="CGE189" s="1360"/>
      <c r="CGF189" s="1362"/>
      <c r="CGG189" s="955"/>
      <c r="CGH189" s="963"/>
      <c r="CGI189" s="2242"/>
      <c r="CGJ189" s="1360"/>
      <c r="CGK189" s="1360"/>
      <c r="CGL189" s="1360"/>
      <c r="CGM189" s="1360"/>
      <c r="CGN189" s="1362"/>
      <c r="CGO189" s="955"/>
      <c r="CGP189" s="963"/>
      <c r="CGQ189" s="2242"/>
      <c r="CGR189" s="1360"/>
      <c r="CGS189" s="1360"/>
      <c r="CGT189" s="1360"/>
      <c r="CGU189" s="1360"/>
      <c r="CGV189" s="1362"/>
      <c r="CGW189" s="955"/>
      <c r="CGX189" s="963"/>
      <c r="CGY189" s="2242"/>
      <c r="CGZ189" s="1360"/>
      <c r="CHA189" s="1360"/>
      <c r="CHB189" s="1360"/>
      <c r="CHC189" s="1360"/>
      <c r="CHD189" s="1362"/>
      <c r="CHE189" s="955"/>
      <c r="CHF189" s="963"/>
      <c r="CHG189" s="2242"/>
      <c r="CHH189" s="1360"/>
      <c r="CHI189" s="1360"/>
      <c r="CHJ189" s="1360"/>
      <c r="CHK189" s="1360"/>
      <c r="CHL189" s="1362"/>
      <c r="CHM189" s="955"/>
      <c r="CHN189" s="963"/>
      <c r="CHO189" s="2242"/>
      <c r="CHP189" s="1360"/>
      <c r="CHQ189" s="1360"/>
      <c r="CHR189" s="1360"/>
      <c r="CHS189" s="1360"/>
      <c r="CHT189" s="1362"/>
      <c r="CHU189" s="955"/>
      <c r="CHV189" s="963"/>
      <c r="CHW189" s="2242"/>
      <c r="CHX189" s="1360"/>
      <c r="CHY189" s="1360"/>
      <c r="CHZ189" s="1360"/>
      <c r="CIA189" s="1360"/>
      <c r="CIB189" s="1362"/>
      <c r="CIC189" s="955"/>
      <c r="CID189" s="963"/>
      <c r="CIE189" s="2242"/>
      <c r="CIF189" s="1360"/>
      <c r="CIG189" s="1360"/>
      <c r="CIH189" s="1360"/>
      <c r="CII189" s="1360"/>
      <c r="CIJ189" s="1362"/>
      <c r="CIK189" s="955"/>
      <c r="CIL189" s="963"/>
      <c r="CIM189" s="2242"/>
      <c r="CIN189" s="1360"/>
      <c r="CIO189" s="1360"/>
      <c r="CIP189" s="1360"/>
      <c r="CIQ189" s="1360"/>
      <c r="CIR189" s="1362"/>
      <c r="CIS189" s="955"/>
      <c r="CIT189" s="963"/>
      <c r="CIU189" s="2242"/>
      <c r="CIV189" s="1360"/>
      <c r="CIW189" s="1360"/>
      <c r="CIX189" s="1360"/>
      <c r="CIY189" s="1360"/>
      <c r="CIZ189" s="1362"/>
      <c r="CJA189" s="955"/>
      <c r="CJB189" s="963"/>
      <c r="CJC189" s="2242"/>
      <c r="CJD189" s="1360"/>
      <c r="CJE189" s="1360"/>
      <c r="CJF189" s="1360"/>
      <c r="CJG189" s="1360"/>
      <c r="CJH189" s="1362"/>
      <c r="CJI189" s="955"/>
      <c r="CJJ189" s="963"/>
      <c r="CJK189" s="2242"/>
      <c r="CJL189" s="1360"/>
      <c r="CJM189" s="1360"/>
      <c r="CJN189" s="1360"/>
      <c r="CJO189" s="1360"/>
      <c r="CJP189" s="1362"/>
      <c r="CJQ189" s="955"/>
      <c r="CJR189" s="963"/>
      <c r="CJS189" s="2242"/>
      <c r="CJT189" s="1360"/>
      <c r="CJU189" s="1360"/>
      <c r="CJV189" s="1360"/>
      <c r="CJW189" s="1360"/>
      <c r="CJX189" s="1362"/>
      <c r="CJY189" s="955"/>
      <c r="CJZ189" s="963"/>
      <c r="CKA189" s="2242"/>
      <c r="CKB189" s="1360"/>
      <c r="CKC189" s="1360"/>
      <c r="CKD189" s="1360"/>
      <c r="CKE189" s="1360"/>
      <c r="CKF189" s="1362"/>
      <c r="CKG189" s="955"/>
      <c r="CKH189" s="963"/>
      <c r="CKI189" s="2242"/>
      <c r="CKJ189" s="1360"/>
      <c r="CKK189" s="1360"/>
      <c r="CKL189" s="1360"/>
      <c r="CKM189" s="1360"/>
      <c r="CKN189" s="1362"/>
      <c r="CKO189" s="955"/>
      <c r="CKP189" s="963"/>
      <c r="CKQ189" s="2242"/>
      <c r="CKR189" s="1360"/>
      <c r="CKS189" s="1360"/>
      <c r="CKT189" s="1360"/>
      <c r="CKU189" s="1360"/>
      <c r="CKV189" s="1362"/>
      <c r="CKW189" s="955"/>
      <c r="CKX189" s="963"/>
      <c r="CKY189" s="2242"/>
      <c r="CKZ189" s="1360"/>
      <c r="CLA189" s="1360"/>
      <c r="CLB189" s="1360"/>
      <c r="CLC189" s="1360"/>
      <c r="CLD189" s="1362"/>
      <c r="CLE189" s="955"/>
      <c r="CLF189" s="963"/>
      <c r="CLG189" s="2242"/>
      <c r="CLH189" s="1360"/>
      <c r="CLI189" s="1360"/>
      <c r="CLJ189" s="1360"/>
      <c r="CLK189" s="1360"/>
      <c r="CLL189" s="1362"/>
      <c r="CLM189" s="955"/>
      <c r="CLN189" s="963"/>
      <c r="CLO189" s="2242"/>
      <c r="CLP189" s="1360"/>
      <c r="CLQ189" s="1360"/>
      <c r="CLR189" s="1360"/>
      <c r="CLS189" s="1360"/>
      <c r="CLT189" s="1362"/>
      <c r="CLU189" s="955"/>
      <c r="CLV189" s="963"/>
      <c r="CLW189" s="2242"/>
      <c r="CLX189" s="1360"/>
      <c r="CLY189" s="1360"/>
      <c r="CLZ189" s="1360"/>
      <c r="CMA189" s="1360"/>
      <c r="CMB189" s="1362"/>
      <c r="CMC189" s="955"/>
      <c r="CMD189" s="963"/>
      <c r="CME189" s="2242"/>
      <c r="CMF189" s="1360"/>
      <c r="CMG189" s="1360"/>
      <c r="CMH189" s="1360"/>
      <c r="CMI189" s="1360"/>
      <c r="CMJ189" s="1362"/>
      <c r="CMK189" s="955"/>
      <c r="CML189" s="963"/>
      <c r="CMM189" s="2242"/>
      <c r="CMN189" s="1360"/>
      <c r="CMO189" s="1360"/>
      <c r="CMP189" s="1360"/>
      <c r="CMQ189" s="1360"/>
      <c r="CMR189" s="1362"/>
      <c r="CMS189" s="955"/>
      <c r="CMT189" s="963"/>
      <c r="CMU189" s="2242"/>
      <c r="CMV189" s="1360"/>
      <c r="CMW189" s="1360"/>
      <c r="CMX189" s="1360"/>
      <c r="CMY189" s="1360"/>
      <c r="CMZ189" s="1362"/>
      <c r="CNA189" s="955"/>
      <c r="CNB189" s="963"/>
      <c r="CNC189" s="2242"/>
      <c r="CND189" s="1360"/>
      <c r="CNE189" s="1360"/>
      <c r="CNF189" s="1360"/>
      <c r="CNG189" s="1360"/>
      <c r="CNH189" s="1362"/>
      <c r="CNI189" s="955"/>
      <c r="CNJ189" s="963"/>
      <c r="CNK189" s="2242"/>
      <c r="CNL189" s="1360"/>
      <c r="CNM189" s="1360"/>
      <c r="CNN189" s="1360"/>
      <c r="CNO189" s="1360"/>
      <c r="CNP189" s="1362"/>
      <c r="CNQ189" s="955"/>
      <c r="CNR189" s="963"/>
      <c r="CNS189" s="2242"/>
      <c r="CNT189" s="1360"/>
      <c r="CNU189" s="1360"/>
      <c r="CNV189" s="1360"/>
      <c r="CNW189" s="1360"/>
      <c r="CNX189" s="1362"/>
      <c r="CNY189" s="955"/>
      <c r="CNZ189" s="963"/>
      <c r="COA189" s="2242"/>
      <c r="COB189" s="1360"/>
      <c r="COC189" s="1360"/>
      <c r="COD189" s="1360"/>
      <c r="COE189" s="1360"/>
      <c r="COF189" s="1362"/>
      <c r="COG189" s="955"/>
      <c r="COH189" s="963"/>
      <c r="COI189" s="2242"/>
      <c r="COJ189" s="1360"/>
      <c r="COK189" s="1360"/>
      <c r="COL189" s="1360"/>
      <c r="COM189" s="1360"/>
      <c r="CON189" s="1362"/>
      <c r="COO189" s="955"/>
      <c r="COP189" s="963"/>
      <c r="COQ189" s="2242"/>
      <c r="COR189" s="1360"/>
      <c r="COS189" s="1360"/>
      <c r="COT189" s="1360"/>
      <c r="COU189" s="1360"/>
      <c r="COV189" s="1362"/>
      <c r="COW189" s="955"/>
      <c r="COX189" s="963"/>
      <c r="COY189" s="2242"/>
      <c r="COZ189" s="1360"/>
      <c r="CPA189" s="1360"/>
      <c r="CPB189" s="1360"/>
      <c r="CPC189" s="1360"/>
      <c r="CPD189" s="1362"/>
      <c r="CPE189" s="955"/>
      <c r="CPF189" s="963"/>
      <c r="CPG189" s="2242"/>
      <c r="CPH189" s="1360"/>
      <c r="CPI189" s="1360"/>
      <c r="CPJ189" s="1360"/>
      <c r="CPK189" s="1360"/>
      <c r="CPL189" s="1362"/>
      <c r="CPM189" s="955"/>
      <c r="CPN189" s="963"/>
      <c r="CPO189" s="2242"/>
      <c r="CPP189" s="1360"/>
      <c r="CPQ189" s="1360"/>
      <c r="CPR189" s="1360"/>
      <c r="CPS189" s="1360"/>
      <c r="CPT189" s="1362"/>
      <c r="CPU189" s="955"/>
      <c r="CPV189" s="963"/>
      <c r="CPW189" s="2242"/>
      <c r="CPX189" s="1360"/>
      <c r="CPY189" s="1360"/>
      <c r="CPZ189" s="1360"/>
      <c r="CQA189" s="1360"/>
      <c r="CQB189" s="1362"/>
      <c r="CQC189" s="955"/>
      <c r="CQD189" s="963"/>
      <c r="CQE189" s="2242"/>
      <c r="CQF189" s="1360"/>
      <c r="CQG189" s="1360"/>
      <c r="CQH189" s="1360"/>
      <c r="CQI189" s="1360"/>
      <c r="CQJ189" s="1362"/>
      <c r="CQK189" s="955"/>
      <c r="CQL189" s="963"/>
      <c r="CQM189" s="2242"/>
      <c r="CQN189" s="1360"/>
      <c r="CQO189" s="1360"/>
      <c r="CQP189" s="1360"/>
      <c r="CQQ189" s="1360"/>
      <c r="CQR189" s="1362"/>
      <c r="CQS189" s="955"/>
      <c r="CQT189" s="963"/>
      <c r="CQU189" s="2242"/>
      <c r="CQV189" s="1360"/>
      <c r="CQW189" s="1360"/>
      <c r="CQX189" s="1360"/>
      <c r="CQY189" s="1360"/>
      <c r="CQZ189" s="1362"/>
      <c r="CRA189" s="955"/>
      <c r="CRB189" s="963"/>
      <c r="CRC189" s="2242"/>
      <c r="CRD189" s="1360"/>
      <c r="CRE189" s="1360"/>
      <c r="CRF189" s="1360"/>
      <c r="CRG189" s="1360"/>
      <c r="CRH189" s="1362"/>
      <c r="CRI189" s="955"/>
      <c r="CRJ189" s="963"/>
      <c r="CRK189" s="2242"/>
      <c r="CRL189" s="1360"/>
      <c r="CRM189" s="1360"/>
      <c r="CRN189" s="1360"/>
      <c r="CRO189" s="1360"/>
      <c r="CRP189" s="1362"/>
      <c r="CRQ189" s="955"/>
      <c r="CRR189" s="963"/>
      <c r="CRS189" s="2242"/>
      <c r="CRT189" s="1360"/>
      <c r="CRU189" s="1360"/>
      <c r="CRV189" s="1360"/>
      <c r="CRW189" s="1360"/>
      <c r="CRX189" s="1362"/>
      <c r="CRY189" s="955"/>
      <c r="CRZ189" s="963"/>
      <c r="CSA189" s="2242"/>
      <c r="CSB189" s="1360"/>
      <c r="CSC189" s="1360"/>
      <c r="CSD189" s="1360"/>
      <c r="CSE189" s="1360"/>
      <c r="CSF189" s="1362"/>
      <c r="CSG189" s="955"/>
      <c r="CSH189" s="963"/>
      <c r="CSI189" s="2242"/>
      <c r="CSJ189" s="1360"/>
      <c r="CSK189" s="1360"/>
      <c r="CSL189" s="1360"/>
      <c r="CSM189" s="1360"/>
      <c r="CSN189" s="1362"/>
      <c r="CSO189" s="955"/>
      <c r="CSP189" s="963"/>
      <c r="CSQ189" s="2242"/>
      <c r="CSR189" s="1360"/>
      <c r="CSS189" s="1360"/>
      <c r="CST189" s="1360"/>
      <c r="CSU189" s="1360"/>
      <c r="CSV189" s="1362"/>
      <c r="CSW189" s="955"/>
      <c r="CSX189" s="963"/>
      <c r="CSY189" s="2242"/>
      <c r="CSZ189" s="1360"/>
      <c r="CTA189" s="1360"/>
      <c r="CTB189" s="1360"/>
      <c r="CTC189" s="1360"/>
      <c r="CTD189" s="1362"/>
      <c r="CTE189" s="955"/>
      <c r="CTF189" s="963"/>
      <c r="CTG189" s="2242"/>
      <c r="CTH189" s="1360"/>
      <c r="CTI189" s="1360"/>
      <c r="CTJ189" s="1360"/>
      <c r="CTK189" s="1360"/>
      <c r="CTL189" s="1362"/>
      <c r="CTM189" s="955"/>
      <c r="CTN189" s="963"/>
      <c r="CTO189" s="2242"/>
      <c r="CTP189" s="1360"/>
      <c r="CTQ189" s="1360"/>
      <c r="CTR189" s="1360"/>
      <c r="CTS189" s="1360"/>
      <c r="CTT189" s="1362"/>
      <c r="CTU189" s="955"/>
      <c r="CTV189" s="963"/>
      <c r="CTW189" s="2242"/>
      <c r="CTX189" s="1360"/>
      <c r="CTY189" s="1360"/>
      <c r="CTZ189" s="1360"/>
      <c r="CUA189" s="1360"/>
      <c r="CUB189" s="1362"/>
      <c r="CUC189" s="955"/>
      <c r="CUD189" s="963"/>
      <c r="CUE189" s="2242"/>
      <c r="CUF189" s="1360"/>
      <c r="CUG189" s="1360"/>
      <c r="CUH189" s="1360"/>
      <c r="CUI189" s="1360"/>
      <c r="CUJ189" s="1362"/>
      <c r="CUK189" s="955"/>
      <c r="CUL189" s="963"/>
      <c r="CUM189" s="2242"/>
      <c r="CUN189" s="1360"/>
      <c r="CUO189" s="1360"/>
      <c r="CUP189" s="1360"/>
      <c r="CUQ189" s="1360"/>
      <c r="CUR189" s="1362"/>
      <c r="CUS189" s="955"/>
      <c r="CUT189" s="963"/>
      <c r="CUU189" s="2242"/>
      <c r="CUV189" s="1360"/>
      <c r="CUW189" s="1360"/>
      <c r="CUX189" s="1360"/>
      <c r="CUY189" s="1360"/>
      <c r="CUZ189" s="1362"/>
      <c r="CVA189" s="955"/>
      <c r="CVB189" s="963"/>
      <c r="CVC189" s="2242"/>
      <c r="CVD189" s="1360"/>
      <c r="CVE189" s="1360"/>
      <c r="CVF189" s="1360"/>
      <c r="CVG189" s="1360"/>
      <c r="CVH189" s="1362"/>
      <c r="CVI189" s="955"/>
      <c r="CVJ189" s="963"/>
      <c r="CVK189" s="2242"/>
      <c r="CVL189" s="1360"/>
      <c r="CVM189" s="1360"/>
      <c r="CVN189" s="1360"/>
      <c r="CVO189" s="1360"/>
      <c r="CVP189" s="1362"/>
      <c r="CVQ189" s="955"/>
      <c r="CVR189" s="963"/>
      <c r="CVS189" s="2242"/>
      <c r="CVT189" s="1360"/>
      <c r="CVU189" s="1360"/>
      <c r="CVV189" s="1360"/>
      <c r="CVW189" s="1360"/>
      <c r="CVX189" s="1362"/>
      <c r="CVY189" s="955"/>
      <c r="CVZ189" s="963"/>
      <c r="CWA189" s="2242"/>
      <c r="CWB189" s="1360"/>
      <c r="CWC189" s="1360"/>
      <c r="CWD189" s="1360"/>
      <c r="CWE189" s="1360"/>
      <c r="CWF189" s="1362"/>
      <c r="CWG189" s="955"/>
      <c r="CWH189" s="963"/>
      <c r="CWI189" s="2242"/>
      <c r="CWJ189" s="1360"/>
      <c r="CWK189" s="1360"/>
      <c r="CWL189" s="1360"/>
      <c r="CWM189" s="1360"/>
      <c r="CWN189" s="1362"/>
      <c r="CWO189" s="955"/>
      <c r="CWP189" s="963"/>
      <c r="CWQ189" s="2242"/>
      <c r="CWR189" s="1360"/>
      <c r="CWS189" s="1360"/>
      <c r="CWT189" s="1360"/>
      <c r="CWU189" s="1360"/>
      <c r="CWV189" s="1362"/>
      <c r="CWW189" s="955"/>
      <c r="CWX189" s="963"/>
      <c r="CWY189" s="2242"/>
      <c r="CWZ189" s="1360"/>
      <c r="CXA189" s="1360"/>
      <c r="CXB189" s="1360"/>
      <c r="CXC189" s="1360"/>
      <c r="CXD189" s="1362"/>
      <c r="CXE189" s="955"/>
      <c r="CXF189" s="963"/>
      <c r="CXG189" s="2242"/>
      <c r="CXH189" s="1360"/>
      <c r="CXI189" s="1360"/>
      <c r="CXJ189" s="1360"/>
      <c r="CXK189" s="1360"/>
      <c r="CXL189" s="1362"/>
      <c r="CXM189" s="955"/>
      <c r="CXN189" s="963"/>
      <c r="CXO189" s="2242"/>
      <c r="CXP189" s="1360"/>
      <c r="CXQ189" s="1360"/>
      <c r="CXR189" s="1360"/>
      <c r="CXS189" s="1360"/>
      <c r="CXT189" s="1362"/>
      <c r="CXU189" s="955"/>
      <c r="CXV189" s="963"/>
      <c r="CXW189" s="2242"/>
      <c r="CXX189" s="1360"/>
      <c r="CXY189" s="1360"/>
      <c r="CXZ189" s="1360"/>
      <c r="CYA189" s="1360"/>
      <c r="CYB189" s="1362"/>
      <c r="CYC189" s="955"/>
      <c r="CYD189" s="963"/>
      <c r="CYE189" s="2242"/>
      <c r="CYF189" s="1360"/>
      <c r="CYG189" s="1360"/>
      <c r="CYH189" s="1360"/>
      <c r="CYI189" s="1360"/>
      <c r="CYJ189" s="1362"/>
      <c r="CYK189" s="955"/>
      <c r="CYL189" s="963"/>
      <c r="CYM189" s="2242"/>
      <c r="CYN189" s="1360"/>
      <c r="CYO189" s="1360"/>
      <c r="CYP189" s="1360"/>
      <c r="CYQ189" s="1360"/>
      <c r="CYR189" s="1362"/>
      <c r="CYS189" s="955"/>
      <c r="CYT189" s="963"/>
      <c r="CYU189" s="2242"/>
      <c r="CYV189" s="1360"/>
      <c r="CYW189" s="1360"/>
      <c r="CYX189" s="1360"/>
      <c r="CYY189" s="1360"/>
      <c r="CYZ189" s="1362"/>
      <c r="CZA189" s="955"/>
      <c r="CZB189" s="963"/>
      <c r="CZC189" s="2242"/>
      <c r="CZD189" s="1360"/>
      <c r="CZE189" s="1360"/>
      <c r="CZF189" s="1360"/>
      <c r="CZG189" s="1360"/>
      <c r="CZH189" s="1362"/>
      <c r="CZI189" s="955"/>
      <c r="CZJ189" s="963"/>
      <c r="CZK189" s="2242"/>
      <c r="CZL189" s="1360"/>
      <c r="CZM189" s="1360"/>
      <c r="CZN189" s="1360"/>
      <c r="CZO189" s="1360"/>
      <c r="CZP189" s="1362"/>
      <c r="CZQ189" s="955"/>
      <c r="CZR189" s="963"/>
      <c r="CZS189" s="2242"/>
      <c r="CZT189" s="1360"/>
      <c r="CZU189" s="1360"/>
      <c r="CZV189" s="1360"/>
      <c r="CZW189" s="1360"/>
      <c r="CZX189" s="1362"/>
      <c r="CZY189" s="955"/>
      <c r="CZZ189" s="963"/>
      <c r="DAA189" s="2242"/>
      <c r="DAB189" s="1360"/>
      <c r="DAC189" s="1360"/>
      <c r="DAD189" s="1360"/>
      <c r="DAE189" s="1360"/>
      <c r="DAF189" s="1362"/>
      <c r="DAG189" s="955"/>
      <c r="DAH189" s="963"/>
      <c r="DAI189" s="2242"/>
      <c r="DAJ189" s="1360"/>
      <c r="DAK189" s="1360"/>
      <c r="DAL189" s="1360"/>
      <c r="DAM189" s="1360"/>
      <c r="DAN189" s="1362"/>
      <c r="DAO189" s="955"/>
      <c r="DAP189" s="963"/>
      <c r="DAQ189" s="2242"/>
      <c r="DAR189" s="1360"/>
      <c r="DAS189" s="1360"/>
      <c r="DAT189" s="1360"/>
      <c r="DAU189" s="1360"/>
      <c r="DAV189" s="1362"/>
      <c r="DAW189" s="955"/>
      <c r="DAX189" s="963"/>
      <c r="DAY189" s="2242"/>
      <c r="DAZ189" s="1360"/>
      <c r="DBA189" s="1360"/>
      <c r="DBB189" s="1360"/>
      <c r="DBC189" s="1360"/>
      <c r="DBD189" s="1362"/>
      <c r="DBE189" s="955"/>
      <c r="DBF189" s="963"/>
      <c r="DBG189" s="2242"/>
      <c r="DBH189" s="1360"/>
      <c r="DBI189" s="1360"/>
      <c r="DBJ189" s="1360"/>
      <c r="DBK189" s="1360"/>
      <c r="DBL189" s="1362"/>
      <c r="DBM189" s="955"/>
      <c r="DBN189" s="963"/>
      <c r="DBO189" s="2242"/>
      <c r="DBP189" s="1360"/>
      <c r="DBQ189" s="1360"/>
      <c r="DBR189" s="1360"/>
      <c r="DBS189" s="1360"/>
      <c r="DBT189" s="1362"/>
      <c r="DBU189" s="955"/>
      <c r="DBV189" s="963"/>
      <c r="DBW189" s="2242"/>
      <c r="DBX189" s="1360"/>
      <c r="DBY189" s="1360"/>
      <c r="DBZ189" s="1360"/>
      <c r="DCA189" s="1360"/>
      <c r="DCB189" s="1362"/>
      <c r="DCC189" s="955"/>
      <c r="DCD189" s="963"/>
      <c r="DCE189" s="2242"/>
      <c r="DCF189" s="1360"/>
      <c r="DCG189" s="1360"/>
      <c r="DCH189" s="1360"/>
      <c r="DCI189" s="1360"/>
      <c r="DCJ189" s="1362"/>
      <c r="DCK189" s="955"/>
      <c r="DCL189" s="963"/>
      <c r="DCM189" s="2242"/>
      <c r="DCN189" s="1360"/>
      <c r="DCO189" s="1360"/>
      <c r="DCP189" s="1360"/>
      <c r="DCQ189" s="1360"/>
      <c r="DCR189" s="1362"/>
      <c r="DCS189" s="955"/>
      <c r="DCT189" s="963"/>
      <c r="DCU189" s="2242"/>
      <c r="DCV189" s="1360"/>
      <c r="DCW189" s="1360"/>
      <c r="DCX189" s="1360"/>
      <c r="DCY189" s="1360"/>
      <c r="DCZ189" s="1362"/>
      <c r="DDA189" s="955"/>
      <c r="DDB189" s="963"/>
      <c r="DDC189" s="2242"/>
      <c r="DDD189" s="1360"/>
      <c r="DDE189" s="1360"/>
      <c r="DDF189" s="1360"/>
      <c r="DDG189" s="1360"/>
      <c r="DDH189" s="1362"/>
      <c r="DDI189" s="955"/>
      <c r="DDJ189" s="963"/>
      <c r="DDK189" s="2242"/>
      <c r="DDL189" s="1360"/>
      <c r="DDM189" s="1360"/>
      <c r="DDN189" s="1360"/>
      <c r="DDO189" s="1360"/>
      <c r="DDP189" s="1362"/>
      <c r="DDQ189" s="955"/>
      <c r="DDR189" s="963"/>
      <c r="DDS189" s="2242"/>
      <c r="DDT189" s="1360"/>
      <c r="DDU189" s="1360"/>
      <c r="DDV189" s="1360"/>
      <c r="DDW189" s="1360"/>
      <c r="DDX189" s="1362"/>
      <c r="DDY189" s="955"/>
      <c r="DDZ189" s="963"/>
      <c r="DEA189" s="2242"/>
      <c r="DEB189" s="1360"/>
      <c r="DEC189" s="1360"/>
      <c r="DED189" s="1360"/>
      <c r="DEE189" s="1360"/>
      <c r="DEF189" s="1362"/>
      <c r="DEG189" s="955"/>
      <c r="DEH189" s="963"/>
      <c r="DEI189" s="2242"/>
      <c r="DEJ189" s="1360"/>
      <c r="DEK189" s="1360"/>
      <c r="DEL189" s="1360"/>
      <c r="DEM189" s="1360"/>
      <c r="DEN189" s="1362"/>
      <c r="DEO189" s="955"/>
      <c r="DEP189" s="963"/>
      <c r="DEQ189" s="2242"/>
      <c r="DER189" s="1360"/>
      <c r="DES189" s="1360"/>
      <c r="DET189" s="1360"/>
      <c r="DEU189" s="1360"/>
      <c r="DEV189" s="1362"/>
      <c r="DEW189" s="955"/>
      <c r="DEX189" s="963"/>
      <c r="DEY189" s="2242"/>
      <c r="DEZ189" s="1360"/>
      <c r="DFA189" s="1360"/>
      <c r="DFB189" s="1360"/>
      <c r="DFC189" s="1360"/>
      <c r="DFD189" s="1362"/>
      <c r="DFE189" s="955"/>
      <c r="DFF189" s="963"/>
      <c r="DFG189" s="2242"/>
      <c r="DFH189" s="1360"/>
      <c r="DFI189" s="1360"/>
      <c r="DFJ189" s="1360"/>
      <c r="DFK189" s="1360"/>
      <c r="DFL189" s="1362"/>
      <c r="DFM189" s="955"/>
      <c r="DFN189" s="963"/>
      <c r="DFO189" s="2242"/>
      <c r="DFP189" s="1360"/>
      <c r="DFQ189" s="1360"/>
      <c r="DFR189" s="1360"/>
      <c r="DFS189" s="1360"/>
      <c r="DFT189" s="1362"/>
      <c r="DFU189" s="955"/>
      <c r="DFV189" s="963"/>
      <c r="DFW189" s="2242"/>
      <c r="DFX189" s="1360"/>
      <c r="DFY189" s="1360"/>
      <c r="DFZ189" s="1360"/>
      <c r="DGA189" s="1360"/>
      <c r="DGB189" s="1362"/>
      <c r="DGC189" s="955"/>
      <c r="DGD189" s="963"/>
      <c r="DGE189" s="2242"/>
      <c r="DGF189" s="1360"/>
      <c r="DGG189" s="1360"/>
      <c r="DGH189" s="1360"/>
      <c r="DGI189" s="1360"/>
      <c r="DGJ189" s="1362"/>
      <c r="DGK189" s="955"/>
      <c r="DGL189" s="963"/>
      <c r="DGM189" s="2242"/>
      <c r="DGN189" s="1360"/>
      <c r="DGO189" s="1360"/>
      <c r="DGP189" s="1360"/>
      <c r="DGQ189" s="1360"/>
      <c r="DGR189" s="1362"/>
      <c r="DGS189" s="955"/>
      <c r="DGT189" s="963"/>
      <c r="DGU189" s="2242"/>
      <c r="DGV189" s="1360"/>
      <c r="DGW189" s="1360"/>
      <c r="DGX189" s="1360"/>
      <c r="DGY189" s="1360"/>
      <c r="DGZ189" s="1362"/>
      <c r="DHA189" s="955"/>
      <c r="DHB189" s="963"/>
      <c r="DHC189" s="2242"/>
      <c r="DHD189" s="1360"/>
      <c r="DHE189" s="1360"/>
      <c r="DHF189" s="1360"/>
      <c r="DHG189" s="1360"/>
      <c r="DHH189" s="1362"/>
      <c r="DHI189" s="955"/>
      <c r="DHJ189" s="963"/>
      <c r="DHK189" s="2242"/>
      <c r="DHL189" s="1360"/>
      <c r="DHM189" s="1360"/>
      <c r="DHN189" s="1360"/>
      <c r="DHO189" s="1360"/>
      <c r="DHP189" s="1362"/>
      <c r="DHQ189" s="955"/>
      <c r="DHR189" s="963"/>
      <c r="DHS189" s="2242"/>
      <c r="DHT189" s="1360"/>
      <c r="DHU189" s="1360"/>
      <c r="DHV189" s="1360"/>
      <c r="DHW189" s="1360"/>
      <c r="DHX189" s="1362"/>
      <c r="DHY189" s="955"/>
      <c r="DHZ189" s="963"/>
      <c r="DIA189" s="2242"/>
      <c r="DIB189" s="1360"/>
      <c r="DIC189" s="1360"/>
      <c r="DID189" s="1360"/>
      <c r="DIE189" s="1360"/>
      <c r="DIF189" s="1362"/>
      <c r="DIG189" s="955"/>
      <c r="DIH189" s="963"/>
      <c r="DII189" s="2242"/>
      <c r="DIJ189" s="1360"/>
      <c r="DIK189" s="1360"/>
      <c r="DIL189" s="1360"/>
      <c r="DIM189" s="1360"/>
      <c r="DIN189" s="1362"/>
      <c r="DIO189" s="955"/>
      <c r="DIP189" s="963"/>
      <c r="DIQ189" s="2242"/>
      <c r="DIR189" s="1360"/>
      <c r="DIS189" s="1360"/>
      <c r="DIT189" s="1360"/>
      <c r="DIU189" s="1360"/>
      <c r="DIV189" s="1362"/>
      <c r="DIW189" s="955"/>
      <c r="DIX189" s="963"/>
      <c r="DIY189" s="2242"/>
      <c r="DIZ189" s="1360"/>
      <c r="DJA189" s="1360"/>
      <c r="DJB189" s="1360"/>
      <c r="DJC189" s="1360"/>
      <c r="DJD189" s="1362"/>
      <c r="DJE189" s="955"/>
      <c r="DJF189" s="963"/>
      <c r="DJG189" s="2242"/>
      <c r="DJH189" s="1360"/>
      <c r="DJI189" s="1360"/>
      <c r="DJJ189" s="1360"/>
      <c r="DJK189" s="1360"/>
      <c r="DJL189" s="1362"/>
      <c r="DJM189" s="955"/>
      <c r="DJN189" s="963"/>
      <c r="DJO189" s="2242"/>
      <c r="DJP189" s="1360"/>
      <c r="DJQ189" s="1360"/>
      <c r="DJR189" s="1360"/>
      <c r="DJS189" s="1360"/>
      <c r="DJT189" s="1362"/>
      <c r="DJU189" s="955"/>
      <c r="DJV189" s="963"/>
      <c r="DJW189" s="2242"/>
      <c r="DJX189" s="1360"/>
      <c r="DJY189" s="1360"/>
      <c r="DJZ189" s="1360"/>
      <c r="DKA189" s="1360"/>
      <c r="DKB189" s="1362"/>
      <c r="DKC189" s="955"/>
      <c r="DKD189" s="963"/>
      <c r="DKE189" s="2242"/>
      <c r="DKF189" s="1360"/>
      <c r="DKG189" s="1360"/>
      <c r="DKH189" s="1360"/>
      <c r="DKI189" s="1360"/>
      <c r="DKJ189" s="1362"/>
      <c r="DKK189" s="955"/>
      <c r="DKL189" s="963"/>
      <c r="DKM189" s="2242"/>
      <c r="DKN189" s="1360"/>
      <c r="DKO189" s="1360"/>
      <c r="DKP189" s="1360"/>
      <c r="DKQ189" s="1360"/>
      <c r="DKR189" s="1362"/>
      <c r="DKS189" s="955"/>
      <c r="DKT189" s="963"/>
      <c r="DKU189" s="2242"/>
      <c r="DKV189" s="1360"/>
      <c r="DKW189" s="1360"/>
      <c r="DKX189" s="1360"/>
      <c r="DKY189" s="1360"/>
      <c r="DKZ189" s="1362"/>
      <c r="DLA189" s="955"/>
      <c r="DLB189" s="963"/>
      <c r="DLC189" s="2242"/>
      <c r="DLD189" s="1360"/>
      <c r="DLE189" s="1360"/>
      <c r="DLF189" s="1360"/>
      <c r="DLG189" s="1360"/>
      <c r="DLH189" s="1362"/>
      <c r="DLI189" s="955"/>
      <c r="DLJ189" s="963"/>
      <c r="DLK189" s="2242"/>
      <c r="DLL189" s="1360"/>
      <c r="DLM189" s="1360"/>
      <c r="DLN189" s="1360"/>
      <c r="DLO189" s="1360"/>
      <c r="DLP189" s="1362"/>
      <c r="DLQ189" s="955"/>
      <c r="DLR189" s="963"/>
      <c r="DLS189" s="2242"/>
      <c r="DLT189" s="1360"/>
      <c r="DLU189" s="1360"/>
      <c r="DLV189" s="1360"/>
      <c r="DLW189" s="1360"/>
      <c r="DLX189" s="1362"/>
      <c r="DLY189" s="955"/>
      <c r="DLZ189" s="963"/>
      <c r="DMA189" s="2242"/>
      <c r="DMB189" s="1360"/>
      <c r="DMC189" s="1360"/>
      <c r="DMD189" s="1360"/>
      <c r="DME189" s="1360"/>
      <c r="DMF189" s="1362"/>
      <c r="DMG189" s="955"/>
      <c r="DMH189" s="963"/>
      <c r="DMI189" s="2242"/>
      <c r="DMJ189" s="1360"/>
      <c r="DMK189" s="1360"/>
      <c r="DML189" s="1360"/>
      <c r="DMM189" s="1360"/>
      <c r="DMN189" s="1362"/>
      <c r="DMO189" s="955"/>
      <c r="DMP189" s="963"/>
      <c r="DMQ189" s="2242"/>
      <c r="DMR189" s="1360"/>
      <c r="DMS189" s="1360"/>
      <c r="DMT189" s="1360"/>
      <c r="DMU189" s="1360"/>
      <c r="DMV189" s="1362"/>
      <c r="DMW189" s="955"/>
      <c r="DMX189" s="963"/>
      <c r="DMY189" s="2242"/>
      <c r="DMZ189" s="1360"/>
      <c r="DNA189" s="1360"/>
      <c r="DNB189" s="1360"/>
      <c r="DNC189" s="1360"/>
      <c r="DND189" s="1362"/>
      <c r="DNE189" s="955"/>
      <c r="DNF189" s="963"/>
      <c r="DNG189" s="2242"/>
      <c r="DNH189" s="1360"/>
      <c r="DNI189" s="1360"/>
      <c r="DNJ189" s="1360"/>
      <c r="DNK189" s="1360"/>
      <c r="DNL189" s="1362"/>
      <c r="DNM189" s="955"/>
      <c r="DNN189" s="963"/>
      <c r="DNO189" s="2242"/>
      <c r="DNP189" s="1360"/>
      <c r="DNQ189" s="1360"/>
      <c r="DNR189" s="1360"/>
      <c r="DNS189" s="1360"/>
      <c r="DNT189" s="1362"/>
      <c r="DNU189" s="955"/>
      <c r="DNV189" s="963"/>
      <c r="DNW189" s="2242"/>
      <c r="DNX189" s="1360"/>
      <c r="DNY189" s="1360"/>
      <c r="DNZ189" s="1360"/>
      <c r="DOA189" s="1360"/>
      <c r="DOB189" s="1362"/>
      <c r="DOC189" s="955"/>
      <c r="DOD189" s="963"/>
      <c r="DOE189" s="2242"/>
      <c r="DOF189" s="1360"/>
      <c r="DOG189" s="1360"/>
      <c r="DOH189" s="1360"/>
      <c r="DOI189" s="1360"/>
      <c r="DOJ189" s="1362"/>
      <c r="DOK189" s="955"/>
      <c r="DOL189" s="963"/>
      <c r="DOM189" s="2242"/>
      <c r="DON189" s="1360"/>
      <c r="DOO189" s="1360"/>
      <c r="DOP189" s="1360"/>
      <c r="DOQ189" s="1360"/>
      <c r="DOR189" s="1362"/>
      <c r="DOS189" s="955"/>
      <c r="DOT189" s="963"/>
      <c r="DOU189" s="2242"/>
      <c r="DOV189" s="1360"/>
      <c r="DOW189" s="1360"/>
      <c r="DOX189" s="1360"/>
      <c r="DOY189" s="1360"/>
      <c r="DOZ189" s="1362"/>
      <c r="DPA189" s="955"/>
      <c r="DPB189" s="963"/>
      <c r="DPC189" s="2242"/>
      <c r="DPD189" s="1360"/>
      <c r="DPE189" s="1360"/>
      <c r="DPF189" s="1360"/>
      <c r="DPG189" s="1360"/>
      <c r="DPH189" s="1362"/>
      <c r="DPI189" s="955"/>
      <c r="DPJ189" s="963"/>
      <c r="DPK189" s="2242"/>
      <c r="DPL189" s="1360"/>
      <c r="DPM189" s="1360"/>
      <c r="DPN189" s="1360"/>
      <c r="DPO189" s="1360"/>
      <c r="DPP189" s="1362"/>
      <c r="DPQ189" s="955"/>
      <c r="DPR189" s="963"/>
      <c r="DPS189" s="2242"/>
      <c r="DPT189" s="1360"/>
      <c r="DPU189" s="1360"/>
      <c r="DPV189" s="1360"/>
      <c r="DPW189" s="1360"/>
      <c r="DPX189" s="1362"/>
      <c r="DPY189" s="955"/>
      <c r="DPZ189" s="963"/>
      <c r="DQA189" s="2242"/>
      <c r="DQB189" s="1360"/>
      <c r="DQC189" s="1360"/>
      <c r="DQD189" s="1360"/>
      <c r="DQE189" s="1360"/>
      <c r="DQF189" s="1362"/>
      <c r="DQG189" s="955"/>
      <c r="DQH189" s="963"/>
      <c r="DQI189" s="2242"/>
      <c r="DQJ189" s="1360"/>
      <c r="DQK189" s="1360"/>
      <c r="DQL189" s="1360"/>
      <c r="DQM189" s="1360"/>
      <c r="DQN189" s="1362"/>
      <c r="DQO189" s="955"/>
      <c r="DQP189" s="963"/>
      <c r="DQQ189" s="2242"/>
      <c r="DQR189" s="1360"/>
      <c r="DQS189" s="1360"/>
      <c r="DQT189" s="1360"/>
      <c r="DQU189" s="1360"/>
      <c r="DQV189" s="1362"/>
      <c r="DQW189" s="955"/>
      <c r="DQX189" s="963"/>
      <c r="DQY189" s="2242"/>
      <c r="DQZ189" s="1360"/>
      <c r="DRA189" s="1360"/>
      <c r="DRB189" s="1360"/>
      <c r="DRC189" s="1360"/>
      <c r="DRD189" s="1362"/>
      <c r="DRE189" s="955"/>
      <c r="DRF189" s="963"/>
      <c r="DRG189" s="2242"/>
      <c r="DRH189" s="1360"/>
      <c r="DRI189" s="1360"/>
      <c r="DRJ189" s="1360"/>
      <c r="DRK189" s="1360"/>
      <c r="DRL189" s="1362"/>
      <c r="DRM189" s="955"/>
      <c r="DRN189" s="963"/>
      <c r="DRO189" s="2242"/>
      <c r="DRP189" s="1360"/>
      <c r="DRQ189" s="1360"/>
      <c r="DRR189" s="1360"/>
      <c r="DRS189" s="1360"/>
      <c r="DRT189" s="1362"/>
      <c r="DRU189" s="955"/>
      <c r="DRV189" s="963"/>
      <c r="DRW189" s="2242"/>
      <c r="DRX189" s="1360"/>
      <c r="DRY189" s="1360"/>
      <c r="DRZ189" s="1360"/>
      <c r="DSA189" s="1360"/>
      <c r="DSB189" s="1362"/>
      <c r="DSC189" s="955"/>
      <c r="DSD189" s="963"/>
      <c r="DSE189" s="2242"/>
      <c r="DSF189" s="1360"/>
      <c r="DSG189" s="1360"/>
      <c r="DSH189" s="1360"/>
      <c r="DSI189" s="1360"/>
      <c r="DSJ189" s="1362"/>
      <c r="DSK189" s="955"/>
      <c r="DSL189" s="963"/>
      <c r="DSM189" s="2242"/>
      <c r="DSN189" s="1360"/>
      <c r="DSO189" s="1360"/>
      <c r="DSP189" s="1360"/>
      <c r="DSQ189" s="1360"/>
      <c r="DSR189" s="1362"/>
      <c r="DSS189" s="955"/>
      <c r="DST189" s="963"/>
      <c r="DSU189" s="2242"/>
      <c r="DSV189" s="1360"/>
      <c r="DSW189" s="1360"/>
      <c r="DSX189" s="1360"/>
      <c r="DSY189" s="1360"/>
      <c r="DSZ189" s="1362"/>
      <c r="DTA189" s="955"/>
      <c r="DTB189" s="963"/>
      <c r="DTC189" s="2242"/>
      <c r="DTD189" s="1360"/>
      <c r="DTE189" s="1360"/>
      <c r="DTF189" s="1360"/>
      <c r="DTG189" s="1360"/>
      <c r="DTH189" s="1362"/>
      <c r="DTI189" s="955"/>
      <c r="DTJ189" s="963"/>
      <c r="DTK189" s="2242"/>
      <c r="DTL189" s="1360"/>
      <c r="DTM189" s="1360"/>
      <c r="DTN189" s="1360"/>
      <c r="DTO189" s="1360"/>
      <c r="DTP189" s="1362"/>
      <c r="DTQ189" s="955"/>
      <c r="DTR189" s="963"/>
      <c r="DTS189" s="2242"/>
      <c r="DTT189" s="1360"/>
      <c r="DTU189" s="1360"/>
      <c r="DTV189" s="1360"/>
      <c r="DTW189" s="1360"/>
      <c r="DTX189" s="1362"/>
      <c r="DTY189" s="955"/>
      <c r="DTZ189" s="963"/>
      <c r="DUA189" s="2242"/>
      <c r="DUB189" s="1360"/>
      <c r="DUC189" s="1360"/>
      <c r="DUD189" s="1360"/>
      <c r="DUE189" s="1360"/>
      <c r="DUF189" s="1362"/>
      <c r="DUG189" s="955"/>
      <c r="DUH189" s="963"/>
      <c r="DUI189" s="2242"/>
      <c r="DUJ189" s="1360"/>
      <c r="DUK189" s="1360"/>
      <c r="DUL189" s="1360"/>
      <c r="DUM189" s="1360"/>
      <c r="DUN189" s="1362"/>
      <c r="DUO189" s="955"/>
      <c r="DUP189" s="963"/>
      <c r="DUQ189" s="2242"/>
      <c r="DUR189" s="1360"/>
      <c r="DUS189" s="1360"/>
      <c r="DUT189" s="1360"/>
      <c r="DUU189" s="1360"/>
      <c r="DUV189" s="1362"/>
      <c r="DUW189" s="955"/>
      <c r="DUX189" s="963"/>
      <c r="DUY189" s="2242"/>
      <c r="DUZ189" s="1360"/>
      <c r="DVA189" s="1360"/>
      <c r="DVB189" s="1360"/>
      <c r="DVC189" s="1360"/>
      <c r="DVD189" s="1362"/>
      <c r="DVE189" s="955"/>
      <c r="DVF189" s="963"/>
      <c r="DVG189" s="2242"/>
      <c r="DVH189" s="1360"/>
      <c r="DVI189" s="1360"/>
      <c r="DVJ189" s="1360"/>
      <c r="DVK189" s="1360"/>
      <c r="DVL189" s="1362"/>
      <c r="DVM189" s="955"/>
      <c r="DVN189" s="963"/>
      <c r="DVO189" s="2242"/>
      <c r="DVP189" s="1360"/>
      <c r="DVQ189" s="1360"/>
      <c r="DVR189" s="1360"/>
      <c r="DVS189" s="1360"/>
      <c r="DVT189" s="1362"/>
      <c r="DVU189" s="955"/>
      <c r="DVV189" s="963"/>
      <c r="DVW189" s="2242"/>
      <c r="DVX189" s="1360"/>
      <c r="DVY189" s="1360"/>
      <c r="DVZ189" s="1360"/>
      <c r="DWA189" s="1360"/>
      <c r="DWB189" s="1362"/>
      <c r="DWC189" s="955"/>
      <c r="DWD189" s="963"/>
      <c r="DWE189" s="2242"/>
      <c r="DWF189" s="1360"/>
      <c r="DWG189" s="1360"/>
      <c r="DWH189" s="1360"/>
      <c r="DWI189" s="1360"/>
      <c r="DWJ189" s="1362"/>
      <c r="DWK189" s="955"/>
      <c r="DWL189" s="963"/>
      <c r="DWM189" s="2242"/>
      <c r="DWN189" s="1360"/>
      <c r="DWO189" s="1360"/>
      <c r="DWP189" s="1360"/>
      <c r="DWQ189" s="1360"/>
      <c r="DWR189" s="1362"/>
      <c r="DWS189" s="955"/>
      <c r="DWT189" s="963"/>
      <c r="DWU189" s="2242"/>
      <c r="DWV189" s="1360"/>
      <c r="DWW189" s="1360"/>
      <c r="DWX189" s="1360"/>
      <c r="DWY189" s="1360"/>
      <c r="DWZ189" s="1362"/>
      <c r="DXA189" s="955"/>
      <c r="DXB189" s="963"/>
      <c r="DXC189" s="2242"/>
      <c r="DXD189" s="1360"/>
      <c r="DXE189" s="1360"/>
      <c r="DXF189" s="1360"/>
      <c r="DXG189" s="1360"/>
      <c r="DXH189" s="1362"/>
      <c r="DXI189" s="955"/>
      <c r="DXJ189" s="963"/>
      <c r="DXK189" s="2242"/>
      <c r="DXL189" s="1360"/>
      <c r="DXM189" s="1360"/>
      <c r="DXN189" s="1360"/>
      <c r="DXO189" s="1360"/>
      <c r="DXP189" s="1362"/>
      <c r="DXQ189" s="955"/>
      <c r="DXR189" s="963"/>
      <c r="DXS189" s="2242"/>
      <c r="DXT189" s="1360"/>
      <c r="DXU189" s="1360"/>
      <c r="DXV189" s="1360"/>
      <c r="DXW189" s="1360"/>
      <c r="DXX189" s="1362"/>
      <c r="DXY189" s="955"/>
      <c r="DXZ189" s="963"/>
      <c r="DYA189" s="2242"/>
      <c r="DYB189" s="1360"/>
      <c r="DYC189" s="1360"/>
      <c r="DYD189" s="1360"/>
      <c r="DYE189" s="1360"/>
      <c r="DYF189" s="1362"/>
      <c r="DYG189" s="955"/>
      <c r="DYH189" s="963"/>
      <c r="DYI189" s="2242"/>
      <c r="DYJ189" s="1360"/>
      <c r="DYK189" s="1360"/>
      <c r="DYL189" s="1360"/>
      <c r="DYM189" s="1360"/>
      <c r="DYN189" s="1362"/>
      <c r="DYO189" s="955"/>
      <c r="DYP189" s="963"/>
      <c r="DYQ189" s="2242"/>
      <c r="DYR189" s="1360"/>
      <c r="DYS189" s="1360"/>
      <c r="DYT189" s="1360"/>
      <c r="DYU189" s="1360"/>
      <c r="DYV189" s="1362"/>
      <c r="DYW189" s="955"/>
      <c r="DYX189" s="963"/>
      <c r="DYY189" s="2242"/>
      <c r="DYZ189" s="1360"/>
      <c r="DZA189" s="1360"/>
      <c r="DZB189" s="1360"/>
      <c r="DZC189" s="1360"/>
      <c r="DZD189" s="1362"/>
      <c r="DZE189" s="955"/>
      <c r="DZF189" s="963"/>
      <c r="DZG189" s="2242"/>
      <c r="DZH189" s="1360"/>
      <c r="DZI189" s="1360"/>
      <c r="DZJ189" s="1360"/>
      <c r="DZK189" s="1360"/>
      <c r="DZL189" s="1362"/>
      <c r="DZM189" s="955"/>
      <c r="DZN189" s="963"/>
      <c r="DZO189" s="2242"/>
      <c r="DZP189" s="1360"/>
      <c r="DZQ189" s="1360"/>
      <c r="DZR189" s="1360"/>
      <c r="DZS189" s="1360"/>
      <c r="DZT189" s="1362"/>
      <c r="DZU189" s="955"/>
      <c r="DZV189" s="963"/>
      <c r="DZW189" s="2242"/>
      <c r="DZX189" s="1360"/>
      <c r="DZY189" s="1360"/>
      <c r="DZZ189" s="1360"/>
      <c r="EAA189" s="1360"/>
      <c r="EAB189" s="1362"/>
      <c r="EAC189" s="955"/>
      <c r="EAD189" s="963"/>
      <c r="EAE189" s="2242"/>
      <c r="EAF189" s="1360"/>
      <c r="EAG189" s="1360"/>
      <c r="EAH189" s="1360"/>
      <c r="EAI189" s="1360"/>
      <c r="EAJ189" s="1362"/>
      <c r="EAK189" s="955"/>
      <c r="EAL189" s="963"/>
      <c r="EAM189" s="2242"/>
      <c r="EAN189" s="1360"/>
      <c r="EAO189" s="1360"/>
      <c r="EAP189" s="1360"/>
      <c r="EAQ189" s="1360"/>
      <c r="EAR189" s="1362"/>
      <c r="EAS189" s="955"/>
      <c r="EAT189" s="963"/>
      <c r="EAU189" s="2242"/>
      <c r="EAV189" s="1360"/>
      <c r="EAW189" s="1360"/>
      <c r="EAX189" s="1360"/>
      <c r="EAY189" s="1360"/>
      <c r="EAZ189" s="1362"/>
      <c r="EBA189" s="955"/>
      <c r="EBB189" s="963"/>
      <c r="EBC189" s="2242"/>
      <c r="EBD189" s="1360"/>
      <c r="EBE189" s="1360"/>
      <c r="EBF189" s="1360"/>
      <c r="EBG189" s="1360"/>
      <c r="EBH189" s="1362"/>
      <c r="EBI189" s="955"/>
      <c r="EBJ189" s="963"/>
      <c r="EBK189" s="2242"/>
      <c r="EBL189" s="1360"/>
      <c r="EBM189" s="1360"/>
      <c r="EBN189" s="1360"/>
      <c r="EBO189" s="1360"/>
      <c r="EBP189" s="1362"/>
      <c r="EBQ189" s="955"/>
      <c r="EBR189" s="963"/>
      <c r="EBS189" s="2242"/>
      <c r="EBT189" s="1360"/>
      <c r="EBU189" s="1360"/>
      <c r="EBV189" s="1360"/>
      <c r="EBW189" s="1360"/>
      <c r="EBX189" s="1362"/>
      <c r="EBY189" s="955"/>
      <c r="EBZ189" s="963"/>
      <c r="ECA189" s="2242"/>
      <c r="ECB189" s="1360"/>
      <c r="ECC189" s="1360"/>
      <c r="ECD189" s="1360"/>
      <c r="ECE189" s="1360"/>
      <c r="ECF189" s="1362"/>
      <c r="ECG189" s="955"/>
      <c r="ECH189" s="963"/>
      <c r="ECI189" s="2242"/>
      <c r="ECJ189" s="1360"/>
      <c r="ECK189" s="1360"/>
      <c r="ECL189" s="1360"/>
      <c r="ECM189" s="1360"/>
      <c r="ECN189" s="1362"/>
      <c r="ECO189" s="955"/>
      <c r="ECP189" s="963"/>
      <c r="ECQ189" s="2242"/>
      <c r="ECR189" s="1360"/>
      <c r="ECS189" s="1360"/>
      <c r="ECT189" s="1360"/>
      <c r="ECU189" s="1360"/>
      <c r="ECV189" s="1362"/>
      <c r="ECW189" s="955"/>
      <c r="ECX189" s="963"/>
      <c r="ECY189" s="2242"/>
      <c r="ECZ189" s="1360"/>
      <c r="EDA189" s="1360"/>
      <c r="EDB189" s="1360"/>
      <c r="EDC189" s="1360"/>
      <c r="EDD189" s="1362"/>
      <c r="EDE189" s="955"/>
      <c r="EDF189" s="963"/>
      <c r="EDG189" s="2242"/>
      <c r="EDH189" s="1360"/>
      <c r="EDI189" s="1360"/>
      <c r="EDJ189" s="1360"/>
      <c r="EDK189" s="1360"/>
      <c r="EDL189" s="1362"/>
      <c r="EDM189" s="955"/>
      <c r="EDN189" s="963"/>
      <c r="EDO189" s="2242"/>
      <c r="EDP189" s="1360"/>
      <c r="EDQ189" s="1360"/>
      <c r="EDR189" s="1360"/>
      <c r="EDS189" s="1360"/>
      <c r="EDT189" s="1362"/>
      <c r="EDU189" s="955"/>
      <c r="EDV189" s="963"/>
      <c r="EDW189" s="2242"/>
      <c r="EDX189" s="1360"/>
      <c r="EDY189" s="1360"/>
      <c r="EDZ189" s="1360"/>
      <c r="EEA189" s="1360"/>
      <c r="EEB189" s="1362"/>
      <c r="EEC189" s="955"/>
      <c r="EED189" s="963"/>
      <c r="EEE189" s="2242"/>
      <c r="EEF189" s="1360"/>
      <c r="EEG189" s="1360"/>
      <c r="EEH189" s="1360"/>
      <c r="EEI189" s="1360"/>
      <c r="EEJ189" s="1362"/>
      <c r="EEK189" s="955"/>
      <c r="EEL189" s="963"/>
      <c r="EEM189" s="2242"/>
      <c r="EEN189" s="1360"/>
      <c r="EEO189" s="1360"/>
      <c r="EEP189" s="1360"/>
      <c r="EEQ189" s="1360"/>
      <c r="EER189" s="1362"/>
      <c r="EES189" s="955"/>
      <c r="EET189" s="963"/>
      <c r="EEU189" s="2242"/>
      <c r="EEV189" s="1360"/>
      <c r="EEW189" s="1360"/>
      <c r="EEX189" s="1360"/>
      <c r="EEY189" s="1360"/>
      <c r="EEZ189" s="1362"/>
      <c r="EFA189" s="955"/>
      <c r="EFB189" s="963"/>
      <c r="EFC189" s="2242"/>
      <c r="EFD189" s="1360"/>
      <c r="EFE189" s="1360"/>
      <c r="EFF189" s="1360"/>
      <c r="EFG189" s="1360"/>
      <c r="EFH189" s="1362"/>
      <c r="EFI189" s="955"/>
      <c r="EFJ189" s="963"/>
      <c r="EFK189" s="2242"/>
      <c r="EFL189" s="1360"/>
      <c r="EFM189" s="1360"/>
      <c r="EFN189" s="1360"/>
      <c r="EFO189" s="1360"/>
      <c r="EFP189" s="1362"/>
      <c r="EFQ189" s="955"/>
      <c r="EFR189" s="963"/>
      <c r="EFS189" s="2242"/>
      <c r="EFT189" s="1360"/>
      <c r="EFU189" s="1360"/>
      <c r="EFV189" s="1360"/>
      <c r="EFW189" s="1360"/>
      <c r="EFX189" s="1362"/>
      <c r="EFY189" s="955"/>
      <c r="EFZ189" s="963"/>
      <c r="EGA189" s="2242"/>
      <c r="EGB189" s="1360"/>
      <c r="EGC189" s="1360"/>
      <c r="EGD189" s="1360"/>
      <c r="EGE189" s="1360"/>
      <c r="EGF189" s="1362"/>
      <c r="EGG189" s="955"/>
      <c r="EGH189" s="963"/>
      <c r="EGI189" s="2242"/>
      <c r="EGJ189" s="1360"/>
      <c r="EGK189" s="1360"/>
      <c r="EGL189" s="1360"/>
      <c r="EGM189" s="1360"/>
      <c r="EGN189" s="1362"/>
      <c r="EGO189" s="955"/>
      <c r="EGP189" s="963"/>
      <c r="EGQ189" s="2242"/>
      <c r="EGR189" s="1360"/>
      <c r="EGS189" s="1360"/>
      <c r="EGT189" s="1360"/>
      <c r="EGU189" s="1360"/>
      <c r="EGV189" s="1362"/>
      <c r="EGW189" s="955"/>
      <c r="EGX189" s="963"/>
      <c r="EGY189" s="2242"/>
      <c r="EGZ189" s="1360"/>
      <c r="EHA189" s="1360"/>
      <c r="EHB189" s="1360"/>
      <c r="EHC189" s="1360"/>
      <c r="EHD189" s="1362"/>
      <c r="EHE189" s="955"/>
      <c r="EHF189" s="963"/>
      <c r="EHG189" s="2242"/>
      <c r="EHH189" s="1360"/>
      <c r="EHI189" s="1360"/>
      <c r="EHJ189" s="1360"/>
      <c r="EHK189" s="1360"/>
      <c r="EHL189" s="1362"/>
      <c r="EHM189" s="955"/>
      <c r="EHN189" s="963"/>
      <c r="EHO189" s="2242"/>
      <c r="EHP189" s="1360"/>
      <c r="EHQ189" s="1360"/>
      <c r="EHR189" s="1360"/>
      <c r="EHS189" s="1360"/>
      <c r="EHT189" s="1362"/>
      <c r="EHU189" s="955"/>
      <c r="EHV189" s="963"/>
      <c r="EHW189" s="2242"/>
      <c r="EHX189" s="1360"/>
      <c r="EHY189" s="1360"/>
      <c r="EHZ189" s="1360"/>
      <c r="EIA189" s="1360"/>
      <c r="EIB189" s="1362"/>
      <c r="EIC189" s="955"/>
      <c r="EID189" s="963"/>
      <c r="EIE189" s="2242"/>
      <c r="EIF189" s="1360"/>
      <c r="EIG189" s="1360"/>
      <c r="EIH189" s="1360"/>
      <c r="EII189" s="1360"/>
      <c r="EIJ189" s="1362"/>
      <c r="EIK189" s="955"/>
      <c r="EIL189" s="963"/>
      <c r="EIM189" s="2242"/>
      <c r="EIN189" s="1360"/>
      <c r="EIO189" s="1360"/>
      <c r="EIP189" s="1360"/>
      <c r="EIQ189" s="1360"/>
      <c r="EIR189" s="1362"/>
      <c r="EIS189" s="955"/>
      <c r="EIT189" s="963"/>
      <c r="EIU189" s="2242"/>
      <c r="EIV189" s="1360"/>
      <c r="EIW189" s="1360"/>
      <c r="EIX189" s="1360"/>
      <c r="EIY189" s="1360"/>
      <c r="EIZ189" s="1362"/>
      <c r="EJA189" s="955"/>
      <c r="EJB189" s="963"/>
      <c r="EJC189" s="2242"/>
      <c r="EJD189" s="1360"/>
      <c r="EJE189" s="1360"/>
      <c r="EJF189" s="1360"/>
      <c r="EJG189" s="1360"/>
      <c r="EJH189" s="1362"/>
      <c r="EJI189" s="955"/>
      <c r="EJJ189" s="963"/>
      <c r="EJK189" s="2242"/>
      <c r="EJL189" s="1360"/>
      <c r="EJM189" s="1360"/>
      <c r="EJN189" s="1360"/>
      <c r="EJO189" s="1360"/>
      <c r="EJP189" s="1362"/>
      <c r="EJQ189" s="955"/>
      <c r="EJR189" s="963"/>
      <c r="EJS189" s="2242"/>
      <c r="EJT189" s="1360"/>
      <c r="EJU189" s="1360"/>
      <c r="EJV189" s="1360"/>
      <c r="EJW189" s="1360"/>
      <c r="EJX189" s="1362"/>
      <c r="EJY189" s="955"/>
      <c r="EJZ189" s="963"/>
      <c r="EKA189" s="2242"/>
      <c r="EKB189" s="1360"/>
      <c r="EKC189" s="1360"/>
      <c r="EKD189" s="1360"/>
      <c r="EKE189" s="1360"/>
      <c r="EKF189" s="1362"/>
      <c r="EKG189" s="955"/>
      <c r="EKH189" s="963"/>
      <c r="EKI189" s="2242"/>
      <c r="EKJ189" s="1360"/>
      <c r="EKK189" s="1360"/>
      <c r="EKL189" s="1360"/>
      <c r="EKM189" s="1360"/>
      <c r="EKN189" s="1362"/>
      <c r="EKO189" s="955"/>
      <c r="EKP189" s="963"/>
      <c r="EKQ189" s="2242"/>
      <c r="EKR189" s="1360"/>
      <c r="EKS189" s="1360"/>
      <c r="EKT189" s="1360"/>
      <c r="EKU189" s="1360"/>
      <c r="EKV189" s="1362"/>
      <c r="EKW189" s="955"/>
      <c r="EKX189" s="963"/>
      <c r="EKY189" s="2242"/>
      <c r="EKZ189" s="1360"/>
      <c r="ELA189" s="1360"/>
      <c r="ELB189" s="1360"/>
      <c r="ELC189" s="1360"/>
      <c r="ELD189" s="1362"/>
      <c r="ELE189" s="955"/>
      <c r="ELF189" s="963"/>
      <c r="ELG189" s="2242"/>
      <c r="ELH189" s="1360"/>
      <c r="ELI189" s="1360"/>
      <c r="ELJ189" s="1360"/>
      <c r="ELK189" s="1360"/>
      <c r="ELL189" s="1362"/>
      <c r="ELM189" s="955"/>
      <c r="ELN189" s="963"/>
      <c r="ELO189" s="2242"/>
      <c r="ELP189" s="1360"/>
      <c r="ELQ189" s="1360"/>
      <c r="ELR189" s="1360"/>
      <c r="ELS189" s="1360"/>
      <c r="ELT189" s="1362"/>
      <c r="ELU189" s="955"/>
      <c r="ELV189" s="963"/>
      <c r="ELW189" s="2242"/>
      <c r="ELX189" s="1360"/>
      <c r="ELY189" s="1360"/>
      <c r="ELZ189" s="1360"/>
      <c r="EMA189" s="1360"/>
      <c r="EMB189" s="1362"/>
      <c r="EMC189" s="955"/>
      <c r="EMD189" s="963"/>
      <c r="EME189" s="2242"/>
      <c r="EMF189" s="1360"/>
      <c r="EMG189" s="1360"/>
      <c r="EMH189" s="1360"/>
      <c r="EMI189" s="1360"/>
      <c r="EMJ189" s="1362"/>
      <c r="EMK189" s="955"/>
      <c r="EML189" s="963"/>
      <c r="EMM189" s="2242"/>
      <c r="EMN189" s="1360"/>
      <c r="EMO189" s="1360"/>
      <c r="EMP189" s="1360"/>
      <c r="EMQ189" s="1360"/>
      <c r="EMR189" s="1362"/>
      <c r="EMS189" s="955"/>
      <c r="EMT189" s="963"/>
      <c r="EMU189" s="2242"/>
      <c r="EMV189" s="1360"/>
      <c r="EMW189" s="1360"/>
      <c r="EMX189" s="1360"/>
      <c r="EMY189" s="1360"/>
      <c r="EMZ189" s="1362"/>
      <c r="ENA189" s="955"/>
      <c r="ENB189" s="963"/>
      <c r="ENC189" s="2242"/>
      <c r="END189" s="1360"/>
      <c r="ENE189" s="1360"/>
      <c r="ENF189" s="1360"/>
      <c r="ENG189" s="1360"/>
      <c r="ENH189" s="1362"/>
      <c r="ENI189" s="955"/>
      <c r="ENJ189" s="963"/>
      <c r="ENK189" s="2242"/>
      <c r="ENL189" s="1360"/>
      <c r="ENM189" s="1360"/>
      <c r="ENN189" s="1360"/>
      <c r="ENO189" s="1360"/>
      <c r="ENP189" s="1362"/>
      <c r="ENQ189" s="955"/>
      <c r="ENR189" s="963"/>
      <c r="ENS189" s="2242"/>
      <c r="ENT189" s="1360"/>
      <c r="ENU189" s="1360"/>
      <c r="ENV189" s="1360"/>
      <c r="ENW189" s="1360"/>
      <c r="ENX189" s="1362"/>
      <c r="ENY189" s="955"/>
      <c r="ENZ189" s="963"/>
      <c r="EOA189" s="2242"/>
      <c r="EOB189" s="1360"/>
      <c r="EOC189" s="1360"/>
      <c r="EOD189" s="1360"/>
      <c r="EOE189" s="1360"/>
      <c r="EOF189" s="1362"/>
      <c r="EOG189" s="955"/>
      <c r="EOH189" s="963"/>
      <c r="EOI189" s="2242"/>
      <c r="EOJ189" s="1360"/>
      <c r="EOK189" s="1360"/>
      <c r="EOL189" s="1360"/>
      <c r="EOM189" s="1360"/>
      <c r="EON189" s="1362"/>
      <c r="EOO189" s="955"/>
      <c r="EOP189" s="963"/>
      <c r="EOQ189" s="2242"/>
      <c r="EOR189" s="1360"/>
      <c r="EOS189" s="1360"/>
      <c r="EOT189" s="1360"/>
      <c r="EOU189" s="1360"/>
      <c r="EOV189" s="1362"/>
      <c r="EOW189" s="955"/>
      <c r="EOX189" s="963"/>
      <c r="EOY189" s="2242"/>
      <c r="EOZ189" s="1360"/>
      <c r="EPA189" s="1360"/>
      <c r="EPB189" s="1360"/>
      <c r="EPC189" s="1360"/>
      <c r="EPD189" s="1362"/>
      <c r="EPE189" s="955"/>
      <c r="EPF189" s="963"/>
      <c r="EPG189" s="2242"/>
      <c r="EPH189" s="1360"/>
      <c r="EPI189" s="1360"/>
      <c r="EPJ189" s="1360"/>
      <c r="EPK189" s="1360"/>
      <c r="EPL189" s="1362"/>
      <c r="EPM189" s="955"/>
      <c r="EPN189" s="963"/>
      <c r="EPO189" s="2242"/>
      <c r="EPP189" s="1360"/>
      <c r="EPQ189" s="1360"/>
      <c r="EPR189" s="1360"/>
      <c r="EPS189" s="1360"/>
      <c r="EPT189" s="1362"/>
      <c r="EPU189" s="955"/>
      <c r="EPV189" s="963"/>
      <c r="EPW189" s="2242"/>
      <c r="EPX189" s="1360"/>
      <c r="EPY189" s="1360"/>
      <c r="EPZ189" s="1360"/>
      <c r="EQA189" s="1360"/>
      <c r="EQB189" s="1362"/>
      <c r="EQC189" s="955"/>
      <c r="EQD189" s="963"/>
      <c r="EQE189" s="2242"/>
      <c r="EQF189" s="1360"/>
      <c r="EQG189" s="1360"/>
      <c r="EQH189" s="1360"/>
      <c r="EQI189" s="1360"/>
      <c r="EQJ189" s="1362"/>
      <c r="EQK189" s="955"/>
      <c r="EQL189" s="963"/>
      <c r="EQM189" s="2242"/>
      <c r="EQN189" s="1360"/>
      <c r="EQO189" s="1360"/>
      <c r="EQP189" s="1360"/>
      <c r="EQQ189" s="1360"/>
      <c r="EQR189" s="1362"/>
      <c r="EQS189" s="955"/>
      <c r="EQT189" s="963"/>
      <c r="EQU189" s="2242"/>
      <c r="EQV189" s="1360"/>
      <c r="EQW189" s="1360"/>
      <c r="EQX189" s="1360"/>
      <c r="EQY189" s="1360"/>
      <c r="EQZ189" s="1362"/>
      <c r="ERA189" s="955"/>
      <c r="ERB189" s="963"/>
      <c r="ERC189" s="2242"/>
      <c r="ERD189" s="1360"/>
      <c r="ERE189" s="1360"/>
      <c r="ERF189" s="1360"/>
      <c r="ERG189" s="1360"/>
      <c r="ERH189" s="1362"/>
      <c r="ERI189" s="955"/>
      <c r="ERJ189" s="963"/>
      <c r="ERK189" s="2242"/>
      <c r="ERL189" s="1360"/>
      <c r="ERM189" s="1360"/>
      <c r="ERN189" s="1360"/>
      <c r="ERO189" s="1360"/>
      <c r="ERP189" s="1362"/>
      <c r="ERQ189" s="955"/>
      <c r="ERR189" s="963"/>
      <c r="ERS189" s="2242"/>
      <c r="ERT189" s="1360"/>
      <c r="ERU189" s="1360"/>
      <c r="ERV189" s="1360"/>
      <c r="ERW189" s="1360"/>
      <c r="ERX189" s="1362"/>
      <c r="ERY189" s="955"/>
      <c r="ERZ189" s="963"/>
      <c r="ESA189" s="2242"/>
      <c r="ESB189" s="1360"/>
      <c r="ESC189" s="1360"/>
      <c r="ESD189" s="1360"/>
      <c r="ESE189" s="1360"/>
      <c r="ESF189" s="1362"/>
      <c r="ESG189" s="955"/>
      <c r="ESH189" s="963"/>
      <c r="ESI189" s="2242"/>
      <c r="ESJ189" s="1360"/>
      <c r="ESK189" s="1360"/>
      <c r="ESL189" s="1360"/>
      <c r="ESM189" s="1360"/>
      <c r="ESN189" s="1362"/>
      <c r="ESO189" s="955"/>
      <c r="ESP189" s="963"/>
      <c r="ESQ189" s="2242"/>
      <c r="ESR189" s="1360"/>
      <c r="ESS189" s="1360"/>
      <c r="EST189" s="1360"/>
      <c r="ESU189" s="1360"/>
      <c r="ESV189" s="1362"/>
      <c r="ESW189" s="955"/>
      <c r="ESX189" s="963"/>
      <c r="ESY189" s="2242"/>
      <c r="ESZ189" s="1360"/>
      <c r="ETA189" s="1360"/>
      <c r="ETB189" s="1360"/>
      <c r="ETC189" s="1360"/>
      <c r="ETD189" s="1362"/>
      <c r="ETE189" s="955"/>
      <c r="ETF189" s="963"/>
      <c r="ETG189" s="2242"/>
      <c r="ETH189" s="1360"/>
      <c r="ETI189" s="1360"/>
      <c r="ETJ189" s="1360"/>
      <c r="ETK189" s="1360"/>
      <c r="ETL189" s="1362"/>
      <c r="ETM189" s="955"/>
      <c r="ETN189" s="963"/>
      <c r="ETO189" s="2242"/>
      <c r="ETP189" s="1360"/>
      <c r="ETQ189" s="1360"/>
      <c r="ETR189" s="1360"/>
      <c r="ETS189" s="1360"/>
      <c r="ETT189" s="1362"/>
      <c r="ETU189" s="955"/>
      <c r="ETV189" s="963"/>
      <c r="ETW189" s="2242"/>
      <c r="ETX189" s="1360"/>
      <c r="ETY189" s="1360"/>
      <c r="ETZ189" s="1360"/>
      <c r="EUA189" s="1360"/>
      <c r="EUB189" s="1362"/>
      <c r="EUC189" s="955"/>
      <c r="EUD189" s="963"/>
      <c r="EUE189" s="2242"/>
      <c r="EUF189" s="1360"/>
      <c r="EUG189" s="1360"/>
      <c r="EUH189" s="1360"/>
      <c r="EUI189" s="1360"/>
      <c r="EUJ189" s="1362"/>
      <c r="EUK189" s="955"/>
      <c r="EUL189" s="963"/>
      <c r="EUM189" s="2242"/>
      <c r="EUN189" s="1360"/>
      <c r="EUO189" s="1360"/>
      <c r="EUP189" s="1360"/>
      <c r="EUQ189" s="1360"/>
      <c r="EUR189" s="1362"/>
      <c r="EUS189" s="955"/>
      <c r="EUT189" s="963"/>
      <c r="EUU189" s="2242"/>
      <c r="EUV189" s="1360"/>
      <c r="EUW189" s="1360"/>
      <c r="EUX189" s="1360"/>
      <c r="EUY189" s="1360"/>
      <c r="EUZ189" s="1362"/>
      <c r="EVA189" s="955"/>
      <c r="EVB189" s="963"/>
      <c r="EVC189" s="2242"/>
      <c r="EVD189" s="1360"/>
      <c r="EVE189" s="1360"/>
      <c r="EVF189" s="1360"/>
      <c r="EVG189" s="1360"/>
      <c r="EVH189" s="1362"/>
      <c r="EVI189" s="955"/>
      <c r="EVJ189" s="963"/>
      <c r="EVK189" s="2242"/>
      <c r="EVL189" s="1360"/>
      <c r="EVM189" s="1360"/>
      <c r="EVN189" s="1360"/>
      <c r="EVO189" s="1360"/>
      <c r="EVP189" s="1362"/>
      <c r="EVQ189" s="955"/>
      <c r="EVR189" s="963"/>
      <c r="EVS189" s="2242"/>
      <c r="EVT189" s="1360"/>
      <c r="EVU189" s="1360"/>
      <c r="EVV189" s="1360"/>
      <c r="EVW189" s="1360"/>
      <c r="EVX189" s="1362"/>
      <c r="EVY189" s="955"/>
      <c r="EVZ189" s="963"/>
      <c r="EWA189" s="2242"/>
      <c r="EWB189" s="1360"/>
      <c r="EWC189" s="1360"/>
      <c r="EWD189" s="1360"/>
      <c r="EWE189" s="1360"/>
      <c r="EWF189" s="1362"/>
      <c r="EWG189" s="955"/>
      <c r="EWH189" s="963"/>
      <c r="EWI189" s="2242"/>
      <c r="EWJ189" s="1360"/>
      <c r="EWK189" s="1360"/>
      <c r="EWL189" s="1360"/>
      <c r="EWM189" s="1360"/>
      <c r="EWN189" s="1362"/>
      <c r="EWO189" s="955"/>
      <c r="EWP189" s="963"/>
      <c r="EWQ189" s="2242"/>
      <c r="EWR189" s="1360"/>
      <c r="EWS189" s="1360"/>
      <c r="EWT189" s="1360"/>
      <c r="EWU189" s="1360"/>
      <c r="EWV189" s="1362"/>
      <c r="EWW189" s="955"/>
      <c r="EWX189" s="963"/>
      <c r="EWY189" s="2242"/>
      <c r="EWZ189" s="1360"/>
      <c r="EXA189" s="1360"/>
      <c r="EXB189" s="1360"/>
      <c r="EXC189" s="1360"/>
      <c r="EXD189" s="1362"/>
      <c r="EXE189" s="955"/>
      <c r="EXF189" s="963"/>
      <c r="EXG189" s="2242"/>
      <c r="EXH189" s="1360"/>
      <c r="EXI189" s="1360"/>
      <c r="EXJ189" s="1360"/>
      <c r="EXK189" s="1360"/>
      <c r="EXL189" s="1362"/>
      <c r="EXM189" s="955"/>
      <c r="EXN189" s="963"/>
      <c r="EXO189" s="2242"/>
      <c r="EXP189" s="1360"/>
      <c r="EXQ189" s="1360"/>
      <c r="EXR189" s="1360"/>
      <c r="EXS189" s="1360"/>
      <c r="EXT189" s="1362"/>
      <c r="EXU189" s="955"/>
      <c r="EXV189" s="963"/>
      <c r="EXW189" s="2242"/>
      <c r="EXX189" s="1360"/>
      <c r="EXY189" s="1360"/>
      <c r="EXZ189" s="1360"/>
      <c r="EYA189" s="1360"/>
      <c r="EYB189" s="1362"/>
      <c r="EYC189" s="955"/>
      <c r="EYD189" s="963"/>
      <c r="EYE189" s="2242"/>
      <c r="EYF189" s="1360"/>
      <c r="EYG189" s="1360"/>
      <c r="EYH189" s="1360"/>
      <c r="EYI189" s="1360"/>
      <c r="EYJ189" s="1362"/>
      <c r="EYK189" s="955"/>
      <c r="EYL189" s="963"/>
      <c r="EYM189" s="2242"/>
      <c r="EYN189" s="1360"/>
      <c r="EYO189" s="1360"/>
      <c r="EYP189" s="1360"/>
      <c r="EYQ189" s="1360"/>
      <c r="EYR189" s="1362"/>
      <c r="EYS189" s="955"/>
      <c r="EYT189" s="963"/>
      <c r="EYU189" s="2242"/>
      <c r="EYV189" s="1360"/>
      <c r="EYW189" s="1360"/>
      <c r="EYX189" s="1360"/>
      <c r="EYY189" s="1360"/>
      <c r="EYZ189" s="1362"/>
      <c r="EZA189" s="955"/>
      <c r="EZB189" s="963"/>
      <c r="EZC189" s="2242"/>
      <c r="EZD189" s="1360"/>
      <c r="EZE189" s="1360"/>
      <c r="EZF189" s="1360"/>
      <c r="EZG189" s="1360"/>
      <c r="EZH189" s="1362"/>
      <c r="EZI189" s="955"/>
      <c r="EZJ189" s="963"/>
      <c r="EZK189" s="2242"/>
      <c r="EZL189" s="1360"/>
      <c r="EZM189" s="1360"/>
      <c r="EZN189" s="1360"/>
      <c r="EZO189" s="1360"/>
      <c r="EZP189" s="1362"/>
      <c r="EZQ189" s="955"/>
      <c r="EZR189" s="963"/>
      <c r="EZS189" s="2242"/>
      <c r="EZT189" s="1360"/>
      <c r="EZU189" s="1360"/>
      <c r="EZV189" s="1360"/>
      <c r="EZW189" s="1360"/>
      <c r="EZX189" s="1362"/>
      <c r="EZY189" s="955"/>
      <c r="EZZ189" s="963"/>
      <c r="FAA189" s="2242"/>
      <c r="FAB189" s="1360"/>
      <c r="FAC189" s="1360"/>
      <c r="FAD189" s="1360"/>
      <c r="FAE189" s="1360"/>
      <c r="FAF189" s="1362"/>
      <c r="FAG189" s="955"/>
      <c r="FAH189" s="963"/>
      <c r="FAI189" s="2242"/>
      <c r="FAJ189" s="1360"/>
      <c r="FAK189" s="1360"/>
      <c r="FAL189" s="1360"/>
      <c r="FAM189" s="1360"/>
      <c r="FAN189" s="1362"/>
      <c r="FAO189" s="955"/>
      <c r="FAP189" s="963"/>
      <c r="FAQ189" s="2242"/>
      <c r="FAR189" s="1360"/>
      <c r="FAS189" s="1360"/>
      <c r="FAT189" s="1360"/>
      <c r="FAU189" s="1360"/>
      <c r="FAV189" s="1362"/>
      <c r="FAW189" s="955"/>
      <c r="FAX189" s="963"/>
      <c r="FAY189" s="2242"/>
      <c r="FAZ189" s="1360"/>
      <c r="FBA189" s="1360"/>
      <c r="FBB189" s="1360"/>
      <c r="FBC189" s="1360"/>
      <c r="FBD189" s="1362"/>
      <c r="FBE189" s="955"/>
      <c r="FBF189" s="963"/>
      <c r="FBG189" s="2242"/>
      <c r="FBH189" s="1360"/>
      <c r="FBI189" s="1360"/>
      <c r="FBJ189" s="1360"/>
      <c r="FBK189" s="1360"/>
      <c r="FBL189" s="1362"/>
      <c r="FBM189" s="955"/>
      <c r="FBN189" s="963"/>
      <c r="FBO189" s="2242"/>
      <c r="FBP189" s="1360"/>
      <c r="FBQ189" s="1360"/>
      <c r="FBR189" s="1360"/>
      <c r="FBS189" s="1360"/>
      <c r="FBT189" s="1362"/>
      <c r="FBU189" s="955"/>
      <c r="FBV189" s="963"/>
      <c r="FBW189" s="2242"/>
      <c r="FBX189" s="1360"/>
      <c r="FBY189" s="1360"/>
      <c r="FBZ189" s="1360"/>
      <c r="FCA189" s="1360"/>
      <c r="FCB189" s="1362"/>
      <c r="FCC189" s="955"/>
      <c r="FCD189" s="963"/>
      <c r="FCE189" s="2242"/>
      <c r="FCF189" s="1360"/>
      <c r="FCG189" s="1360"/>
      <c r="FCH189" s="1360"/>
      <c r="FCI189" s="1360"/>
      <c r="FCJ189" s="1362"/>
      <c r="FCK189" s="955"/>
      <c r="FCL189" s="963"/>
      <c r="FCM189" s="2242"/>
      <c r="FCN189" s="1360"/>
      <c r="FCO189" s="1360"/>
      <c r="FCP189" s="1360"/>
      <c r="FCQ189" s="1360"/>
      <c r="FCR189" s="1362"/>
      <c r="FCS189" s="955"/>
      <c r="FCT189" s="963"/>
      <c r="FCU189" s="2242"/>
      <c r="FCV189" s="1360"/>
      <c r="FCW189" s="1360"/>
      <c r="FCX189" s="1360"/>
      <c r="FCY189" s="1360"/>
      <c r="FCZ189" s="1362"/>
      <c r="FDA189" s="955"/>
      <c r="FDB189" s="963"/>
      <c r="FDC189" s="2242"/>
      <c r="FDD189" s="1360"/>
      <c r="FDE189" s="1360"/>
      <c r="FDF189" s="1360"/>
      <c r="FDG189" s="1360"/>
      <c r="FDH189" s="1362"/>
      <c r="FDI189" s="955"/>
      <c r="FDJ189" s="963"/>
      <c r="FDK189" s="2242"/>
      <c r="FDL189" s="1360"/>
      <c r="FDM189" s="1360"/>
      <c r="FDN189" s="1360"/>
      <c r="FDO189" s="1360"/>
      <c r="FDP189" s="1362"/>
      <c r="FDQ189" s="955"/>
      <c r="FDR189" s="963"/>
      <c r="FDS189" s="2242"/>
      <c r="FDT189" s="1360"/>
      <c r="FDU189" s="1360"/>
      <c r="FDV189" s="1360"/>
      <c r="FDW189" s="1360"/>
      <c r="FDX189" s="1362"/>
      <c r="FDY189" s="955"/>
      <c r="FDZ189" s="963"/>
      <c r="FEA189" s="2242"/>
      <c r="FEB189" s="1360"/>
      <c r="FEC189" s="1360"/>
      <c r="FED189" s="1360"/>
      <c r="FEE189" s="1360"/>
      <c r="FEF189" s="1362"/>
      <c r="FEG189" s="955"/>
      <c r="FEH189" s="963"/>
      <c r="FEI189" s="2242"/>
      <c r="FEJ189" s="1360"/>
      <c r="FEK189" s="1360"/>
      <c r="FEL189" s="1360"/>
      <c r="FEM189" s="1360"/>
      <c r="FEN189" s="1362"/>
      <c r="FEO189" s="955"/>
      <c r="FEP189" s="963"/>
      <c r="FEQ189" s="2242"/>
      <c r="FER189" s="1360"/>
      <c r="FES189" s="1360"/>
      <c r="FET189" s="1360"/>
      <c r="FEU189" s="1360"/>
      <c r="FEV189" s="1362"/>
      <c r="FEW189" s="955"/>
      <c r="FEX189" s="963"/>
      <c r="FEY189" s="2242"/>
      <c r="FEZ189" s="1360"/>
      <c r="FFA189" s="1360"/>
      <c r="FFB189" s="1360"/>
      <c r="FFC189" s="1360"/>
      <c r="FFD189" s="1362"/>
      <c r="FFE189" s="955"/>
      <c r="FFF189" s="963"/>
      <c r="FFG189" s="2242"/>
      <c r="FFH189" s="1360"/>
      <c r="FFI189" s="1360"/>
      <c r="FFJ189" s="1360"/>
      <c r="FFK189" s="1360"/>
      <c r="FFL189" s="1362"/>
      <c r="FFM189" s="955"/>
      <c r="FFN189" s="963"/>
      <c r="FFO189" s="2242"/>
      <c r="FFP189" s="1360"/>
      <c r="FFQ189" s="1360"/>
      <c r="FFR189" s="1360"/>
      <c r="FFS189" s="1360"/>
      <c r="FFT189" s="1362"/>
      <c r="FFU189" s="955"/>
      <c r="FFV189" s="963"/>
      <c r="FFW189" s="2242"/>
      <c r="FFX189" s="1360"/>
      <c r="FFY189" s="1360"/>
      <c r="FFZ189" s="1360"/>
      <c r="FGA189" s="1360"/>
      <c r="FGB189" s="1362"/>
      <c r="FGC189" s="955"/>
      <c r="FGD189" s="963"/>
      <c r="FGE189" s="2242"/>
      <c r="FGF189" s="1360"/>
      <c r="FGG189" s="1360"/>
      <c r="FGH189" s="1360"/>
      <c r="FGI189" s="1360"/>
      <c r="FGJ189" s="1362"/>
      <c r="FGK189" s="955"/>
      <c r="FGL189" s="963"/>
      <c r="FGM189" s="2242"/>
      <c r="FGN189" s="1360"/>
      <c r="FGO189" s="1360"/>
      <c r="FGP189" s="1360"/>
      <c r="FGQ189" s="1360"/>
      <c r="FGR189" s="1362"/>
      <c r="FGS189" s="955"/>
      <c r="FGT189" s="963"/>
      <c r="FGU189" s="2242"/>
      <c r="FGV189" s="1360"/>
      <c r="FGW189" s="1360"/>
      <c r="FGX189" s="1360"/>
      <c r="FGY189" s="1360"/>
      <c r="FGZ189" s="1362"/>
      <c r="FHA189" s="955"/>
      <c r="FHB189" s="963"/>
      <c r="FHC189" s="2242"/>
      <c r="FHD189" s="1360"/>
      <c r="FHE189" s="1360"/>
      <c r="FHF189" s="1360"/>
      <c r="FHG189" s="1360"/>
      <c r="FHH189" s="1362"/>
      <c r="FHI189" s="955"/>
      <c r="FHJ189" s="963"/>
      <c r="FHK189" s="2242"/>
      <c r="FHL189" s="1360"/>
      <c r="FHM189" s="1360"/>
      <c r="FHN189" s="1360"/>
      <c r="FHO189" s="1360"/>
      <c r="FHP189" s="1362"/>
      <c r="FHQ189" s="955"/>
      <c r="FHR189" s="963"/>
      <c r="FHS189" s="2242"/>
      <c r="FHT189" s="1360"/>
      <c r="FHU189" s="1360"/>
      <c r="FHV189" s="1360"/>
      <c r="FHW189" s="1360"/>
      <c r="FHX189" s="1362"/>
      <c r="FHY189" s="955"/>
      <c r="FHZ189" s="963"/>
      <c r="FIA189" s="2242"/>
      <c r="FIB189" s="1360"/>
      <c r="FIC189" s="1360"/>
      <c r="FID189" s="1360"/>
      <c r="FIE189" s="1360"/>
      <c r="FIF189" s="1362"/>
      <c r="FIG189" s="955"/>
      <c r="FIH189" s="963"/>
      <c r="FII189" s="2242"/>
      <c r="FIJ189" s="1360"/>
      <c r="FIK189" s="1360"/>
      <c r="FIL189" s="1360"/>
      <c r="FIM189" s="1360"/>
      <c r="FIN189" s="1362"/>
      <c r="FIO189" s="955"/>
      <c r="FIP189" s="963"/>
      <c r="FIQ189" s="2242"/>
      <c r="FIR189" s="1360"/>
      <c r="FIS189" s="1360"/>
      <c r="FIT189" s="1360"/>
      <c r="FIU189" s="1360"/>
      <c r="FIV189" s="1362"/>
      <c r="FIW189" s="955"/>
      <c r="FIX189" s="963"/>
      <c r="FIY189" s="2242"/>
      <c r="FIZ189" s="1360"/>
      <c r="FJA189" s="1360"/>
      <c r="FJB189" s="1360"/>
      <c r="FJC189" s="1360"/>
      <c r="FJD189" s="1362"/>
      <c r="FJE189" s="955"/>
      <c r="FJF189" s="963"/>
      <c r="FJG189" s="2242"/>
      <c r="FJH189" s="1360"/>
      <c r="FJI189" s="1360"/>
      <c r="FJJ189" s="1360"/>
      <c r="FJK189" s="1360"/>
      <c r="FJL189" s="1362"/>
      <c r="FJM189" s="955"/>
      <c r="FJN189" s="963"/>
      <c r="FJO189" s="2242"/>
      <c r="FJP189" s="1360"/>
      <c r="FJQ189" s="1360"/>
      <c r="FJR189" s="1360"/>
      <c r="FJS189" s="1360"/>
      <c r="FJT189" s="1362"/>
      <c r="FJU189" s="955"/>
      <c r="FJV189" s="963"/>
      <c r="FJW189" s="2242"/>
      <c r="FJX189" s="1360"/>
      <c r="FJY189" s="1360"/>
      <c r="FJZ189" s="1360"/>
      <c r="FKA189" s="1360"/>
      <c r="FKB189" s="1362"/>
      <c r="FKC189" s="955"/>
      <c r="FKD189" s="963"/>
      <c r="FKE189" s="2242"/>
      <c r="FKF189" s="1360"/>
      <c r="FKG189" s="1360"/>
      <c r="FKH189" s="1360"/>
      <c r="FKI189" s="1360"/>
      <c r="FKJ189" s="1362"/>
      <c r="FKK189" s="955"/>
      <c r="FKL189" s="963"/>
      <c r="FKM189" s="2242"/>
      <c r="FKN189" s="1360"/>
      <c r="FKO189" s="1360"/>
      <c r="FKP189" s="1360"/>
      <c r="FKQ189" s="1360"/>
      <c r="FKR189" s="1362"/>
      <c r="FKS189" s="955"/>
      <c r="FKT189" s="963"/>
      <c r="FKU189" s="2242"/>
      <c r="FKV189" s="1360"/>
      <c r="FKW189" s="1360"/>
      <c r="FKX189" s="1360"/>
      <c r="FKY189" s="1360"/>
      <c r="FKZ189" s="1362"/>
      <c r="FLA189" s="955"/>
      <c r="FLB189" s="963"/>
      <c r="FLC189" s="2242"/>
      <c r="FLD189" s="1360"/>
      <c r="FLE189" s="1360"/>
      <c r="FLF189" s="1360"/>
      <c r="FLG189" s="1360"/>
      <c r="FLH189" s="1362"/>
      <c r="FLI189" s="955"/>
      <c r="FLJ189" s="963"/>
      <c r="FLK189" s="2242"/>
      <c r="FLL189" s="1360"/>
      <c r="FLM189" s="1360"/>
      <c r="FLN189" s="1360"/>
      <c r="FLO189" s="1360"/>
      <c r="FLP189" s="1362"/>
      <c r="FLQ189" s="955"/>
      <c r="FLR189" s="963"/>
      <c r="FLS189" s="2242"/>
      <c r="FLT189" s="1360"/>
      <c r="FLU189" s="1360"/>
      <c r="FLV189" s="1360"/>
      <c r="FLW189" s="1360"/>
      <c r="FLX189" s="1362"/>
      <c r="FLY189" s="955"/>
      <c r="FLZ189" s="963"/>
      <c r="FMA189" s="2242"/>
      <c r="FMB189" s="1360"/>
      <c r="FMC189" s="1360"/>
      <c r="FMD189" s="1360"/>
      <c r="FME189" s="1360"/>
      <c r="FMF189" s="1362"/>
      <c r="FMG189" s="955"/>
      <c r="FMH189" s="963"/>
      <c r="FMI189" s="2242"/>
      <c r="FMJ189" s="1360"/>
      <c r="FMK189" s="1360"/>
      <c r="FML189" s="1360"/>
      <c r="FMM189" s="1360"/>
      <c r="FMN189" s="1362"/>
      <c r="FMO189" s="955"/>
      <c r="FMP189" s="963"/>
      <c r="FMQ189" s="2242"/>
      <c r="FMR189" s="1360"/>
      <c r="FMS189" s="1360"/>
      <c r="FMT189" s="1360"/>
      <c r="FMU189" s="1360"/>
      <c r="FMV189" s="1362"/>
      <c r="FMW189" s="955"/>
      <c r="FMX189" s="963"/>
      <c r="FMY189" s="2242"/>
      <c r="FMZ189" s="1360"/>
      <c r="FNA189" s="1360"/>
      <c r="FNB189" s="1360"/>
      <c r="FNC189" s="1360"/>
      <c r="FND189" s="1362"/>
      <c r="FNE189" s="955"/>
      <c r="FNF189" s="963"/>
      <c r="FNG189" s="2242"/>
      <c r="FNH189" s="1360"/>
      <c r="FNI189" s="1360"/>
      <c r="FNJ189" s="1360"/>
      <c r="FNK189" s="1360"/>
      <c r="FNL189" s="1362"/>
      <c r="FNM189" s="955"/>
      <c r="FNN189" s="963"/>
      <c r="FNO189" s="2242"/>
      <c r="FNP189" s="1360"/>
      <c r="FNQ189" s="1360"/>
      <c r="FNR189" s="1360"/>
      <c r="FNS189" s="1360"/>
      <c r="FNT189" s="1362"/>
      <c r="FNU189" s="955"/>
      <c r="FNV189" s="963"/>
      <c r="FNW189" s="2242"/>
      <c r="FNX189" s="1360"/>
      <c r="FNY189" s="1360"/>
      <c r="FNZ189" s="1360"/>
      <c r="FOA189" s="1360"/>
      <c r="FOB189" s="1362"/>
      <c r="FOC189" s="955"/>
      <c r="FOD189" s="963"/>
      <c r="FOE189" s="2242"/>
      <c r="FOF189" s="1360"/>
      <c r="FOG189" s="1360"/>
      <c r="FOH189" s="1360"/>
      <c r="FOI189" s="1360"/>
      <c r="FOJ189" s="1362"/>
      <c r="FOK189" s="955"/>
      <c r="FOL189" s="963"/>
      <c r="FOM189" s="2242"/>
      <c r="FON189" s="1360"/>
      <c r="FOO189" s="1360"/>
      <c r="FOP189" s="1360"/>
      <c r="FOQ189" s="1360"/>
      <c r="FOR189" s="1362"/>
      <c r="FOS189" s="955"/>
      <c r="FOT189" s="963"/>
      <c r="FOU189" s="2242"/>
      <c r="FOV189" s="1360"/>
      <c r="FOW189" s="1360"/>
      <c r="FOX189" s="1360"/>
      <c r="FOY189" s="1360"/>
      <c r="FOZ189" s="1362"/>
      <c r="FPA189" s="955"/>
      <c r="FPB189" s="963"/>
      <c r="FPC189" s="2242"/>
      <c r="FPD189" s="1360"/>
      <c r="FPE189" s="1360"/>
      <c r="FPF189" s="1360"/>
      <c r="FPG189" s="1360"/>
      <c r="FPH189" s="1362"/>
      <c r="FPI189" s="955"/>
      <c r="FPJ189" s="963"/>
      <c r="FPK189" s="2242"/>
      <c r="FPL189" s="1360"/>
      <c r="FPM189" s="1360"/>
      <c r="FPN189" s="1360"/>
      <c r="FPO189" s="1360"/>
      <c r="FPP189" s="1362"/>
      <c r="FPQ189" s="955"/>
      <c r="FPR189" s="963"/>
      <c r="FPS189" s="2242"/>
      <c r="FPT189" s="1360"/>
      <c r="FPU189" s="1360"/>
      <c r="FPV189" s="1360"/>
      <c r="FPW189" s="1360"/>
      <c r="FPX189" s="1362"/>
      <c r="FPY189" s="955"/>
      <c r="FPZ189" s="963"/>
      <c r="FQA189" s="2242"/>
      <c r="FQB189" s="1360"/>
      <c r="FQC189" s="1360"/>
      <c r="FQD189" s="1360"/>
      <c r="FQE189" s="1360"/>
      <c r="FQF189" s="1362"/>
      <c r="FQG189" s="955"/>
      <c r="FQH189" s="963"/>
      <c r="FQI189" s="2242"/>
      <c r="FQJ189" s="1360"/>
      <c r="FQK189" s="1360"/>
      <c r="FQL189" s="1360"/>
      <c r="FQM189" s="1360"/>
      <c r="FQN189" s="1362"/>
      <c r="FQO189" s="955"/>
      <c r="FQP189" s="963"/>
      <c r="FQQ189" s="2242"/>
      <c r="FQR189" s="1360"/>
      <c r="FQS189" s="1360"/>
      <c r="FQT189" s="1360"/>
      <c r="FQU189" s="1360"/>
      <c r="FQV189" s="1362"/>
      <c r="FQW189" s="955"/>
      <c r="FQX189" s="963"/>
      <c r="FQY189" s="2242"/>
      <c r="FQZ189" s="1360"/>
      <c r="FRA189" s="1360"/>
      <c r="FRB189" s="1360"/>
      <c r="FRC189" s="1360"/>
      <c r="FRD189" s="1362"/>
      <c r="FRE189" s="955"/>
      <c r="FRF189" s="963"/>
      <c r="FRG189" s="2242"/>
      <c r="FRH189" s="1360"/>
      <c r="FRI189" s="1360"/>
      <c r="FRJ189" s="1360"/>
      <c r="FRK189" s="1360"/>
      <c r="FRL189" s="1362"/>
      <c r="FRM189" s="955"/>
      <c r="FRN189" s="963"/>
      <c r="FRO189" s="2242"/>
      <c r="FRP189" s="1360"/>
      <c r="FRQ189" s="1360"/>
      <c r="FRR189" s="1360"/>
      <c r="FRS189" s="1360"/>
      <c r="FRT189" s="1362"/>
      <c r="FRU189" s="955"/>
      <c r="FRV189" s="963"/>
      <c r="FRW189" s="2242"/>
      <c r="FRX189" s="1360"/>
      <c r="FRY189" s="1360"/>
      <c r="FRZ189" s="1360"/>
      <c r="FSA189" s="1360"/>
      <c r="FSB189" s="1362"/>
      <c r="FSC189" s="955"/>
      <c r="FSD189" s="963"/>
      <c r="FSE189" s="2242"/>
      <c r="FSF189" s="1360"/>
      <c r="FSG189" s="1360"/>
      <c r="FSH189" s="1360"/>
      <c r="FSI189" s="1360"/>
      <c r="FSJ189" s="1362"/>
      <c r="FSK189" s="955"/>
      <c r="FSL189" s="963"/>
      <c r="FSM189" s="2242"/>
      <c r="FSN189" s="1360"/>
      <c r="FSO189" s="1360"/>
      <c r="FSP189" s="1360"/>
      <c r="FSQ189" s="1360"/>
      <c r="FSR189" s="1362"/>
      <c r="FSS189" s="955"/>
      <c r="FST189" s="963"/>
      <c r="FSU189" s="2242"/>
      <c r="FSV189" s="1360"/>
      <c r="FSW189" s="1360"/>
      <c r="FSX189" s="1360"/>
      <c r="FSY189" s="1360"/>
      <c r="FSZ189" s="1362"/>
      <c r="FTA189" s="955"/>
      <c r="FTB189" s="963"/>
      <c r="FTC189" s="2242"/>
      <c r="FTD189" s="1360"/>
      <c r="FTE189" s="1360"/>
      <c r="FTF189" s="1360"/>
      <c r="FTG189" s="1360"/>
      <c r="FTH189" s="1362"/>
      <c r="FTI189" s="955"/>
      <c r="FTJ189" s="963"/>
      <c r="FTK189" s="2242"/>
      <c r="FTL189" s="1360"/>
      <c r="FTM189" s="1360"/>
      <c r="FTN189" s="1360"/>
      <c r="FTO189" s="1360"/>
      <c r="FTP189" s="1362"/>
      <c r="FTQ189" s="955"/>
      <c r="FTR189" s="963"/>
      <c r="FTS189" s="2242"/>
      <c r="FTT189" s="1360"/>
      <c r="FTU189" s="1360"/>
      <c r="FTV189" s="1360"/>
      <c r="FTW189" s="1360"/>
      <c r="FTX189" s="1362"/>
      <c r="FTY189" s="955"/>
      <c r="FTZ189" s="963"/>
      <c r="FUA189" s="2242"/>
      <c r="FUB189" s="1360"/>
      <c r="FUC189" s="1360"/>
      <c r="FUD189" s="1360"/>
      <c r="FUE189" s="1360"/>
      <c r="FUF189" s="1362"/>
      <c r="FUG189" s="955"/>
      <c r="FUH189" s="963"/>
      <c r="FUI189" s="2242"/>
      <c r="FUJ189" s="1360"/>
      <c r="FUK189" s="1360"/>
      <c r="FUL189" s="1360"/>
      <c r="FUM189" s="1360"/>
      <c r="FUN189" s="1362"/>
      <c r="FUO189" s="955"/>
      <c r="FUP189" s="963"/>
      <c r="FUQ189" s="2242"/>
      <c r="FUR189" s="1360"/>
      <c r="FUS189" s="1360"/>
      <c r="FUT189" s="1360"/>
      <c r="FUU189" s="1360"/>
      <c r="FUV189" s="1362"/>
      <c r="FUW189" s="955"/>
      <c r="FUX189" s="963"/>
      <c r="FUY189" s="2242"/>
      <c r="FUZ189" s="1360"/>
      <c r="FVA189" s="1360"/>
      <c r="FVB189" s="1360"/>
      <c r="FVC189" s="1360"/>
      <c r="FVD189" s="1362"/>
      <c r="FVE189" s="955"/>
      <c r="FVF189" s="963"/>
      <c r="FVG189" s="2242"/>
      <c r="FVH189" s="1360"/>
      <c r="FVI189" s="1360"/>
      <c r="FVJ189" s="1360"/>
      <c r="FVK189" s="1360"/>
      <c r="FVL189" s="1362"/>
      <c r="FVM189" s="955"/>
      <c r="FVN189" s="963"/>
      <c r="FVO189" s="2242"/>
      <c r="FVP189" s="1360"/>
      <c r="FVQ189" s="1360"/>
      <c r="FVR189" s="1360"/>
      <c r="FVS189" s="1360"/>
      <c r="FVT189" s="1362"/>
      <c r="FVU189" s="955"/>
      <c r="FVV189" s="963"/>
      <c r="FVW189" s="2242"/>
      <c r="FVX189" s="1360"/>
      <c r="FVY189" s="1360"/>
      <c r="FVZ189" s="1360"/>
      <c r="FWA189" s="1360"/>
      <c r="FWB189" s="1362"/>
      <c r="FWC189" s="955"/>
      <c r="FWD189" s="963"/>
      <c r="FWE189" s="2242"/>
      <c r="FWF189" s="1360"/>
      <c r="FWG189" s="1360"/>
      <c r="FWH189" s="1360"/>
      <c r="FWI189" s="1360"/>
      <c r="FWJ189" s="1362"/>
      <c r="FWK189" s="955"/>
      <c r="FWL189" s="963"/>
      <c r="FWM189" s="2242"/>
      <c r="FWN189" s="1360"/>
      <c r="FWO189" s="1360"/>
      <c r="FWP189" s="1360"/>
      <c r="FWQ189" s="1360"/>
      <c r="FWR189" s="1362"/>
      <c r="FWS189" s="955"/>
      <c r="FWT189" s="963"/>
      <c r="FWU189" s="2242"/>
      <c r="FWV189" s="1360"/>
      <c r="FWW189" s="1360"/>
      <c r="FWX189" s="1360"/>
      <c r="FWY189" s="1360"/>
      <c r="FWZ189" s="1362"/>
      <c r="FXA189" s="955"/>
      <c r="FXB189" s="963"/>
      <c r="FXC189" s="2242"/>
      <c r="FXD189" s="1360"/>
      <c r="FXE189" s="1360"/>
      <c r="FXF189" s="1360"/>
      <c r="FXG189" s="1360"/>
      <c r="FXH189" s="1362"/>
      <c r="FXI189" s="955"/>
      <c r="FXJ189" s="963"/>
      <c r="FXK189" s="2242"/>
      <c r="FXL189" s="1360"/>
      <c r="FXM189" s="1360"/>
      <c r="FXN189" s="1360"/>
      <c r="FXO189" s="1360"/>
      <c r="FXP189" s="1362"/>
      <c r="FXQ189" s="955"/>
      <c r="FXR189" s="963"/>
      <c r="FXS189" s="2242"/>
      <c r="FXT189" s="1360"/>
      <c r="FXU189" s="1360"/>
      <c r="FXV189" s="1360"/>
      <c r="FXW189" s="1360"/>
      <c r="FXX189" s="1362"/>
      <c r="FXY189" s="955"/>
      <c r="FXZ189" s="963"/>
      <c r="FYA189" s="2242"/>
      <c r="FYB189" s="1360"/>
      <c r="FYC189" s="1360"/>
      <c r="FYD189" s="1360"/>
      <c r="FYE189" s="1360"/>
      <c r="FYF189" s="1362"/>
      <c r="FYG189" s="955"/>
      <c r="FYH189" s="963"/>
      <c r="FYI189" s="2242"/>
      <c r="FYJ189" s="1360"/>
      <c r="FYK189" s="1360"/>
      <c r="FYL189" s="1360"/>
      <c r="FYM189" s="1360"/>
      <c r="FYN189" s="1362"/>
      <c r="FYO189" s="955"/>
      <c r="FYP189" s="963"/>
      <c r="FYQ189" s="2242"/>
      <c r="FYR189" s="1360"/>
      <c r="FYS189" s="1360"/>
      <c r="FYT189" s="1360"/>
      <c r="FYU189" s="1360"/>
      <c r="FYV189" s="1362"/>
      <c r="FYW189" s="955"/>
      <c r="FYX189" s="963"/>
      <c r="FYY189" s="2242"/>
      <c r="FYZ189" s="1360"/>
      <c r="FZA189" s="1360"/>
      <c r="FZB189" s="1360"/>
      <c r="FZC189" s="1360"/>
      <c r="FZD189" s="1362"/>
      <c r="FZE189" s="955"/>
      <c r="FZF189" s="963"/>
      <c r="FZG189" s="2242"/>
      <c r="FZH189" s="1360"/>
      <c r="FZI189" s="1360"/>
      <c r="FZJ189" s="1360"/>
      <c r="FZK189" s="1360"/>
      <c r="FZL189" s="1362"/>
      <c r="FZM189" s="955"/>
      <c r="FZN189" s="963"/>
      <c r="FZO189" s="2242"/>
      <c r="FZP189" s="1360"/>
      <c r="FZQ189" s="1360"/>
      <c r="FZR189" s="1360"/>
      <c r="FZS189" s="1360"/>
      <c r="FZT189" s="1362"/>
      <c r="FZU189" s="955"/>
      <c r="FZV189" s="963"/>
      <c r="FZW189" s="2242"/>
      <c r="FZX189" s="1360"/>
      <c r="FZY189" s="1360"/>
      <c r="FZZ189" s="1360"/>
      <c r="GAA189" s="1360"/>
      <c r="GAB189" s="1362"/>
      <c r="GAC189" s="955"/>
      <c r="GAD189" s="963"/>
      <c r="GAE189" s="2242"/>
      <c r="GAF189" s="1360"/>
      <c r="GAG189" s="1360"/>
      <c r="GAH189" s="1360"/>
      <c r="GAI189" s="1360"/>
      <c r="GAJ189" s="1362"/>
      <c r="GAK189" s="955"/>
      <c r="GAL189" s="963"/>
      <c r="GAM189" s="2242"/>
      <c r="GAN189" s="1360"/>
      <c r="GAO189" s="1360"/>
      <c r="GAP189" s="1360"/>
      <c r="GAQ189" s="1360"/>
      <c r="GAR189" s="1362"/>
      <c r="GAS189" s="955"/>
      <c r="GAT189" s="963"/>
      <c r="GAU189" s="2242"/>
      <c r="GAV189" s="1360"/>
      <c r="GAW189" s="1360"/>
      <c r="GAX189" s="1360"/>
      <c r="GAY189" s="1360"/>
      <c r="GAZ189" s="1362"/>
      <c r="GBA189" s="955"/>
      <c r="GBB189" s="963"/>
      <c r="GBC189" s="2242"/>
      <c r="GBD189" s="1360"/>
      <c r="GBE189" s="1360"/>
      <c r="GBF189" s="1360"/>
      <c r="GBG189" s="1360"/>
      <c r="GBH189" s="1362"/>
      <c r="GBI189" s="955"/>
      <c r="GBJ189" s="963"/>
      <c r="GBK189" s="2242"/>
      <c r="GBL189" s="1360"/>
      <c r="GBM189" s="1360"/>
      <c r="GBN189" s="1360"/>
      <c r="GBO189" s="1360"/>
      <c r="GBP189" s="1362"/>
      <c r="GBQ189" s="955"/>
      <c r="GBR189" s="963"/>
      <c r="GBS189" s="2242"/>
      <c r="GBT189" s="1360"/>
      <c r="GBU189" s="1360"/>
      <c r="GBV189" s="1360"/>
      <c r="GBW189" s="1360"/>
      <c r="GBX189" s="1362"/>
      <c r="GBY189" s="955"/>
      <c r="GBZ189" s="963"/>
      <c r="GCA189" s="2242"/>
      <c r="GCB189" s="1360"/>
      <c r="GCC189" s="1360"/>
      <c r="GCD189" s="1360"/>
      <c r="GCE189" s="1360"/>
      <c r="GCF189" s="1362"/>
      <c r="GCG189" s="955"/>
      <c r="GCH189" s="963"/>
      <c r="GCI189" s="2242"/>
      <c r="GCJ189" s="1360"/>
      <c r="GCK189" s="1360"/>
      <c r="GCL189" s="1360"/>
      <c r="GCM189" s="1360"/>
      <c r="GCN189" s="1362"/>
      <c r="GCO189" s="955"/>
      <c r="GCP189" s="963"/>
      <c r="GCQ189" s="2242"/>
      <c r="GCR189" s="1360"/>
      <c r="GCS189" s="1360"/>
      <c r="GCT189" s="1360"/>
      <c r="GCU189" s="1360"/>
      <c r="GCV189" s="1362"/>
      <c r="GCW189" s="955"/>
      <c r="GCX189" s="963"/>
      <c r="GCY189" s="2242"/>
      <c r="GCZ189" s="1360"/>
      <c r="GDA189" s="1360"/>
      <c r="GDB189" s="1360"/>
      <c r="GDC189" s="1360"/>
      <c r="GDD189" s="1362"/>
      <c r="GDE189" s="955"/>
      <c r="GDF189" s="963"/>
      <c r="GDG189" s="2242"/>
      <c r="GDH189" s="1360"/>
      <c r="GDI189" s="1360"/>
      <c r="GDJ189" s="1360"/>
      <c r="GDK189" s="1360"/>
      <c r="GDL189" s="1362"/>
      <c r="GDM189" s="955"/>
      <c r="GDN189" s="963"/>
      <c r="GDO189" s="2242"/>
      <c r="GDP189" s="1360"/>
      <c r="GDQ189" s="1360"/>
      <c r="GDR189" s="1360"/>
      <c r="GDS189" s="1360"/>
      <c r="GDT189" s="1362"/>
      <c r="GDU189" s="955"/>
      <c r="GDV189" s="963"/>
      <c r="GDW189" s="2242"/>
      <c r="GDX189" s="1360"/>
      <c r="GDY189" s="1360"/>
      <c r="GDZ189" s="1360"/>
      <c r="GEA189" s="1360"/>
      <c r="GEB189" s="1362"/>
      <c r="GEC189" s="955"/>
      <c r="GED189" s="963"/>
      <c r="GEE189" s="2242"/>
      <c r="GEF189" s="1360"/>
      <c r="GEG189" s="1360"/>
      <c r="GEH189" s="1360"/>
      <c r="GEI189" s="1360"/>
      <c r="GEJ189" s="1362"/>
      <c r="GEK189" s="955"/>
      <c r="GEL189" s="963"/>
      <c r="GEM189" s="2242"/>
      <c r="GEN189" s="1360"/>
      <c r="GEO189" s="1360"/>
      <c r="GEP189" s="1360"/>
      <c r="GEQ189" s="1360"/>
      <c r="GER189" s="1362"/>
      <c r="GES189" s="955"/>
      <c r="GET189" s="963"/>
      <c r="GEU189" s="2242"/>
      <c r="GEV189" s="1360"/>
      <c r="GEW189" s="1360"/>
      <c r="GEX189" s="1360"/>
      <c r="GEY189" s="1360"/>
      <c r="GEZ189" s="1362"/>
      <c r="GFA189" s="955"/>
      <c r="GFB189" s="963"/>
      <c r="GFC189" s="2242"/>
      <c r="GFD189" s="1360"/>
      <c r="GFE189" s="1360"/>
      <c r="GFF189" s="1360"/>
      <c r="GFG189" s="1360"/>
      <c r="GFH189" s="1362"/>
      <c r="GFI189" s="955"/>
      <c r="GFJ189" s="963"/>
      <c r="GFK189" s="2242"/>
      <c r="GFL189" s="1360"/>
      <c r="GFM189" s="1360"/>
      <c r="GFN189" s="1360"/>
      <c r="GFO189" s="1360"/>
      <c r="GFP189" s="1362"/>
      <c r="GFQ189" s="955"/>
      <c r="GFR189" s="963"/>
      <c r="GFS189" s="2242"/>
      <c r="GFT189" s="1360"/>
      <c r="GFU189" s="1360"/>
      <c r="GFV189" s="1360"/>
      <c r="GFW189" s="1360"/>
      <c r="GFX189" s="1362"/>
      <c r="GFY189" s="955"/>
      <c r="GFZ189" s="963"/>
      <c r="GGA189" s="2242"/>
      <c r="GGB189" s="1360"/>
      <c r="GGC189" s="1360"/>
      <c r="GGD189" s="1360"/>
      <c r="GGE189" s="1360"/>
      <c r="GGF189" s="1362"/>
      <c r="GGG189" s="955"/>
      <c r="GGH189" s="963"/>
      <c r="GGI189" s="2242"/>
      <c r="GGJ189" s="1360"/>
      <c r="GGK189" s="1360"/>
      <c r="GGL189" s="1360"/>
      <c r="GGM189" s="1360"/>
      <c r="GGN189" s="1362"/>
      <c r="GGO189" s="955"/>
      <c r="GGP189" s="963"/>
      <c r="GGQ189" s="2242"/>
      <c r="GGR189" s="1360"/>
      <c r="GGS189" s="1360"/>
      <c r="GGT189" s="1360"/>
      <c r="GGU189" s="1360"/>
      <c r="GGV189" s="1362"/>
      <c r="GGW189" s="955"/>
      <c r="GGX189" s="963"/>
      <c r="GGY189" s="2242"/>
      <c r="GGZ189" s="1360"/>
      <c r="GHA189" s="1360"/>
      <c r="GHB189" s="1360"/>
      <c r="GHC189" s="1360"/>
      <c r="GHD189" s="1362"/>
      <c r="GHE189" s="955"/>
      <c r="GHF189" s="963"/>
      <c r="GHG189" s="2242"/>
      <c r="GHH189" s="1360"/>
      <c r="GHI189" s="1360"/>
      <c r="GHJ189" s="1360"/>
      <c r="GHK189" s="1360"/>
      <c r="GHL189" s="1362"/>
      <c r="GHM189" s="955"/>
      <c r="GHN189" s="963"/>
      <c r="GHO189" s="2242"/>
      <c r="GHP189" s="1360"/>
      <c r="GHQ189" s="1360"/>
      <c r="GHR189" s="1360"/>
      <c r="GHS189" s="1360"/>
      <c r="GHT189" s="1362"/>
      <c r="GHU189" s="955"/>
      <c r="GHV189" s="963"/>
      <c r="GHW189" s="2242"/>
      <c r="GHX189" s="1360"/>
      <c r="GHY189" s="1360"/>
      <c r="GHZ189" s="1360"/>
      <c r="GIA189" s="1360"/>
      <c r="GIB189" s="1362"/>
      <c r="GIC189" s="955"/>
      <c r="GID189" s="963"/>
      <c r="GIE189" s="2242"/>
      <c r="GIF189" s="1360"/>
      <c r="GIG189" s="1360"/>
      <c r="GIH189" s="1360"/>
      <c r="GII189" s="1360"/>
      <c r="GIJ189" s="1362"/>
      <c r="GIK189" s="955"/>
      <c r="GIL189" s="963"/>
      <c r="GIM189" s="2242"/>
      <c r="GIN189" s="1360"/>
      <c r="GIO189" s="1360"/>
      <c r="GIP189" s="1360"/>
      <c r="GIQ189" s="1360"/>
      <c r="GIR189" s="1362"/>
      <c r="GIS189" s="955"/>
      <c r="GIT189" s="963"/>
      <c r="GIU189" s="2242"/>
      <c r="GIV189" s="1360"/>
      <c r="GIW189" s="1360"/>
      <c r="GIX189" s="1360"/>
      <c r="GIY189" s="1360"/>
      <c r="GIZ189" s="1362"/>
      <c r="GJA189" s="955"/>
      <c r="GJB189" s="963"/>
      <c r="GJC189" s="2242"/>
      <c r="GJD189" s="1360"/>
      <c r="GJE189" s="1360"/>
      <c r="GJF189" s="1360"/>
      <c r="GJG189" s="1360"/>
      <c r="GJH189" s="1362"/>
      <c r="GJI189" s="955"/>
      <c r="GJJ189" s="963"/>
      <c r="GJK189" s="2242"/>
      <c r="GJL189" s="1360"/>
      <c r="GJM189" s="1360"/>
      <c r="GJN189" s="1360"/>
      <c r="GJO189" s="1360"/>
      <c r="GJP189" s="1362"/>
      <c r="GJQ189" s="955"/>
      <c r="GJR189" s="963"/>
      <c r="GJS189" s="2242"/>
      <c r="GJT189" s="1360"/>
      <c r="GJU189" s="1360"/>
      <c r="GJV189" s="1360"/>
      <c r="GJW189" s="1360"/>
      <c r="GJX189" s="1362"/>
      <c r="GJY189" s="955"/>
      <c r="GJZ189" s="963"/>
      <c r="GKA189" s="2242"/>
      <c r="GKB189" s="1360"/>
      <c r="GKC189" s="1360"/>
      <c r="GKD189" s="1360"/>
      <c r="GKE189" s="1360"/>
      <c r="GKF189" s="1362"/>
      <c r="GKG189" s="955"/>
      <c r="GKH189" s="963"/>
      <c r="GKI189" s="2242"/>
      <c r="GKJ189" s="1360"/>
      <c r="GKK189" s="1360"/>
      <c r="GKL189" s="1360"/>
      <c r="GKM189" s="1360"/>
      <c r="GKN189" s="1362"/>
      <c r="GKO189" s="955"/>
      <c r="GKP189" s="963"/>
      <c r="GKQ189" s="2242"/>
      <c r="GKR189" s="1360"/>
      <c r="GKS189" s="1360"/>
      <c r="GKT189" s="1360"/>
      <c r="GKU189" s="1360"/>
      <c r="GKV189" s="1362"/>
      <c r="GKW189" s="955"/>
      <c r="GKX189" s="963"/>
      <c r="GKY189" s="2242"/>
      <c r="GKZ189" s="1360"/>
      <c r="GLA189" s="1360"/>
      <c r="GLB189" s="1360"/>
      <c r="GLC189" s="1360"/>
      <c r="GLD189" s="1362"/>
      <c r="GLE189" s="955"/>
      <c r="GLF189" s="963"/>
      <c r="GLG189" s="2242"/>
      <c r="GLH189" s="1360"/>
      <c r="GLI189" s="1360"/>
      <c r="GLJ189" s="1360"/>
      <c r="GLK189" s="1360"/>
      <c r="GLL189" s="1362"/>
      <c r="GLM189" s="955"/>
      <c r="GLN189" s="963"/>
      <c r="GLO189" s="2242"/>
      <c r="GLP189" s="1360"/>
      <c r="GLQ189" s="1360"/>
      <c r="GLR189" s="1360"/>
      <c r="GLS189" s="1360"/>
      <c r="GLT189" s="1362"/>
      <c r="GLU189" s="955"/>
      <c r="GLV189" s="963"/>
      <c r="GLW189" s="2242"/>
      <c r="GLX189" s="1360"/>
      <c r="GLY189" s="1360"/>
      <c r="GLZ189" s="1360"/>
      <c r="GMA189" s="1360"/>
      <c r="GMB189" s="1362"/>
      <c r="GMC189" s="955"/>
      <c r="GMD189" s="963"/>
      <c r="GME189" s="2242"/>
      <c r="GMF189" s="1360"/>
      <c r="GMG189" s="1360"/>
      <c r="GMH189" s="1360"/>
      <c r="GMI189" s="1360"/>
      <c r="GMJ189" s="1362"/>
      <c r="GMK189" s="955"/>
      <c r="GML189" s="963"/>
      <c r="GMM189" s="2242"/>
      <c r="GMN189" s="1360"/>
      <c r="GMO189" s="1360"/>
      <c r="GMP189" s="1360"/>
      <c r="GMQ189" s="1360"/>
      <c r="GMR189" s="1362"/>
      <c r="GMS189" s="955"/>
      <c r="GMT189" s="963"/>
      <c r="GMU189" s="2242"/>
      <c r="GMV189" s="1360"/>
      <c r="GMW189" s="1360"/>
      <c r="GMX189" s="1360"/>
      <c r="GMY189" s="1360"/>
      <c r="GMZ189" s="1362"/>
      <c r="GNA189" s="955"/>
      <c r="GNB189" s="963"/>
      <c r="GNC189" s="2242"/>
      <c r="GND189" s="1360"/>
      <c r="GNE189" s="1360"/>
      <c r="GNF189" s="1360"/>
      <c r="GNG189" s="1360"/>
      <c r="GNH189" s="1362"/>
      <c r="GNI189" s="955"/>
      <c r="GNJ189" s="963"/>
      <c r="GNK189" s="2242"/>
      <c r="GNL189" s="1360"/>
      <c r="GNM189" s="1360"/>
      <c r="GNN189" s="1360"/>
      <c r="GNO189" s="1360"/>
      <c r="GNP189" s="1362"/>
      <c r="GNQ189" s="955"/>
      <c r="GNR189" s="963"/>
      <c r="GNS189" s="2242"/>
      <c r="GNT189" s="1360"/>
      <c r="GNU189" s="1360"/>
      <c r="GNV189" s="1360"/>
      <c r="GNW189" s="1360"/>
      <c r="GNX189" s="1362"/>
      <c r="GNY189" s="955"/>
      <c r="GNZ189" s="963"/>
      <c r="GOA189" s="2242"/>
      <c r="GOB189" s="1360"/>
      <c r="GOC189" s="1360"/>
      <c r="GOD189" s="1360"/>
      <c r="GOE189" s="1360"/>
      <c r="GOF189" s="1362"/>
      <c r="GOG189" s="955"/>
      <c r="GOH189" s="963"/>
      <c r="GOI189" s="2242"/>
      <c r="GOJ189" s="1360"/>
      <c r="GOK189" s="1360"/>
      <c r="GOL189" s="1360"/>
      <c r="GOM189" s="1360"/>
      <c r="GON189" s="1362"/>
      <c r="GOO189" s="955"/>
      <c r="GOP189" s="963"/>
      <c r="GOQ189" s="2242"/>
      <c r="GOR189" s="1360"/>
      <c r="GOS189" s="1360"/>
      <c r="GOT189" s="1360"/>
      <c r="GOU189" s="1360"/>
      <c r="GOV189" s="1362"/>
      <c r="GOW189" s="955"/>
      <c r="GOX189" s="963"/>
      <c r="GOY189" s="2242"/>
      <c r="GOZ189" s="1360"/>
      <c r="GPA189" s="1360"/>
      <c r="GPB189" s="1360"/>
      <c r="GPC189" s="1360"/>
      <c r="GPD189" s="1362"/>
      <c r="GPE189" s="955"/>
      <c r="GPF189" s="963"/>
      <c r="GPG189" s="2242"/>
      <c r="GPH189" s="1360"/>
      <c r="GPI189" s="1360"/>
      <c r="GPJ189" s="1360"/>
      <c r="GPK189" s="1360"/>
      <c r="GPL189" s="1362"/>
      <c r="GPM189" s="955"/>
      <c r="GPN189" s="963"/>
      <c r="GPO189" s="2242"/>
      <c r="GPP189" s="1360"/>
      <c r="GPQ189" s="1360"/>
      <c r="GPR189" s="1360"/>
      <c r="GPS189" s="1360"/>
      <c r="GPT189" s="1362"/>
      <c r="GPU189" s="955"/>
      <c r="GPV189" s="963"/>
      <c r="GPW189" s="2242"/>
      <c r="GPX189" s="1360"/>
      <c r="GPY189" s="1360"/>
      <c r="GPZ189" s="1360"/>
      <c r="GQA189" s="1360"/>
      <c r="GQB189" s="1362"/>
      <c r="GQC189" s="955"/>
      <c r="GQD189" s="963"/>
      <c r="GQE189" s="2242"/>
      <c r="GQF189" s="1360"/>
      <c r="GQG189" s="1360"/>
      <c r="GQH189" s="1360"/>
      <c r="GQI189" s="1360"/>
      <c r="GQJ189" s="1362"/>
      <c r="GQK189" s="955"/>
      <c r="GQL189" s="963"/>
      <c r="GQM189" s="2242"/>
      <c r="GQN189" s="1360"/>
      <c r="GQO189" s="1360"/>
      <c r="GQP189" s="1360"/>
      <c r="GQQ189" s="1360"/>
      <c r="GQR189" s="1362"/>
      <c r="GQS189" s="955"/>
      <c r="GQT189" s="963"/>
      <c r="GQU189" s="2242"/>
      <c r="GQV189" s="1360"/>
      <c r="GQW189" s="1360"/>
      <c r="GQX189" s="1360"/>
      <c r="GQY189" s="1360"/>
      <c r="GQZ189" s="1362"/>
      <c r="GRA189" s="955"/>
      <c r="GRB189" s="963"/>
      <c r="GRC189" s="2242"/>
      <c r="GRD189" s="1360"/>
      <c r="GRE189" s="1360"/>
      <c r="GRF189" s="1360"/>
      <c r="GRG189" s="1360"/>
      <c r="GRH189" s="1362"/>
      <c r="GRI189" s="955"/>
      <c r="GRJ189" s="963"/>
      <c r="GRK189" s="2242"/>
      <c r="GRL189" s="1360"/>
      <c r="GRM189" s="1360"/>
      <c r="GRN189" s="1360"/>
      <c r="GRO189" s="1360"/>
      <c r="GRP189" s="1362"/>
      <c r="GRQ189" s="955"/>
      <c r="GRR189" s="963"/>
      <c r="GRS189" s="2242"/>
      <c r="GRT189" s="1360"/>
      <c r="GRU189" s="1360"/>
      <c r="GRV189" s="1360"/>
      <c r="GRW189" s="1360"/>
      <c r="GRX189" s="1362"/>
      <c r="GRY189" s="955"/>
      <c r="GRZ189" s="963"/>
      <c r="GSA189" s="2242"/>
      <c r="GSB189" s="1360"/>
      <c r="GSC189" s="1360"/>
      <c r="GSD189" s="1360"/>
      <c r="GSE189" s="1360"/>
      <c r="GSF189" s="1362"/>
      <c r="GSG189" s="955"/>
      <c r="GSH189" s="963"/>
      <c r="GSI189" s="2242"/>
      <c r="GSJ189" s="1360"/>
      <c r="GSK189" s="1360"/>
      <c r="GSL189" s="1360"/>
      <c r="GSM189" s="1360"/>
      <c r="GSN189" s="1362"/>
      <c r="GSO189" s="955"/>
      <c r="GSP189" s="963"/>
      <c r="GSQ189" s="2242"/>
      <c r="GSR189" s="1360"/>
      <c r="GSS189" s="1360"/>
      <c r="GST189" s="1360"/>
      <c r="GSU189" s="1360"/>
      <c r="GSV189" s="1362"/>
      <c r="GSW189" s="955"/>
      <c r="GSX189" s="963"/>
      <c r="GSY189" s="2242"/>
      <c r="GSZ189" s="1360"/>
      <c r="GTA189" s="1360"/>
      <c r="GTB189" s="1360"/>
      <c r="GTC189" s="1360"/>
      <c r="GTD189" s="1362"/>
      <c r="GTE189" s="955"/>
      <c r="GTF189" s="963"/>
      <c r="GTG189" s="2242"/>
      <c r="GTH189" s="1360"/>
      <c r="GTI189" s="1360"/>
      <c r="GTJ189" s="1360"/>
      <c r="GTK189" s="1360"/>
      <c r="GTL189" s="1362"/>
      <c r="GTM189" s="955"/>
      <c r="GTN189" s="963"/>
      <c r="GTO189" s="2242"/>
      <c r="GTP189" s="1360"/>
      <c r="GTQ189" s="1360"/>
      <c r="GTR189" s="1360"/>
      <c r="GTS189" s="1360"/>
      <c r="GTT189" s="1362"/>
      <c r="GTU189" s="955"/>
      <c r="GTV189" s="963"/>
      <c r="GTW189" s="2242"/>
      <c r="GTX189" s="1360"/>
      <c r="GTY189" s="1360"/>
      <c r="GTZ189" s="1360"/>
      <c r="GUA189" s="1360"/>
      <c r="GUB189" s="1362"/>
      <c r="GUC189" s="955"/>
      <c r="GUD189" s="963"/>
      <c r="GUE189" s="2242"/>
      <c r="GUF189" s="1360"/>
      <c r="GUG189" s="1360"/>
      <c r="GUH189" s="1360"/>
      <c r="GUI189" s="1360"/>
      <c r="GUJ189" s="1362"/>
      <c r="GUK189" s="955"/>
      <c r="GUL189" s="963"/>
      <c r="GUM189" s="2242"/>
      <c r="GUN189" s="1360"/>
      <c r="GUO189" s="1360"/>
      <c r="GUP189" s="1360"/>
      <c r="GUQ189" s="1360"/>
      <c r="GUR189" s="1362"/>
      <c r="GUS189" s="955"/>
      <c r="GUT189" s="963"/>
      <c r="GUU189" s="2242"/>
      <c r="GUV189" s="1360"/>
      <c r="GUW189" s="1360"/>
      <c r="GUX189" s="1360"/>
      <c r="GUY189" s="1360"/>
      <c r="GUZ189" s="1362"/>
      <c r="GVA189" s="955"/>
      <c r="GVB189" s="963"/>
      <c r="GVC189" s="2242"/>
      <c r="GVD189" s="1360"/>
      <c r="GVE189" s="1360"/>
      <c r="GVF189" s="1360"/>
      <c r="GVG189" s="1360"/>
      <c r="GVH189" s="1362"/>
      <c r="GVI189" s="955"/>
      <c r="GVJ189" s="963"/>
      <c r="GVK189" s="2242"/>
      <c r="GVL189" s="1360"/>
      <c r="GVM189" s="1360"/>
      <c r="GVN189" s="1360"/>
      <c r="GVO189" s="1360"/>
      <c r="GVP189" s="1362"/>
      <c r="GVQ189" s="955"/>
      <c r="GVR189" s="963"/>
      <c r="GVS189" s="2242"/>
      <c r="GVT189" s="1360"/>
      <c r="GVU189" s="1360"/>
      <c r="GVV189" s="1360"/>
      <c r="GVW189" s="1360"/>
      <c r="GVX189" s="1362"/>
      <c r="GVY189" s="955"/>
      <c r="GVZ189" s="963"/>
      <c r="GWA189" s="2242"/>
      <c r="GWB189" s="1360"/>
      <c r="GWC189" s="1360"/>
      <c r="GWD189" s="1360"/>
      <c r="GWE189" s="1360"/>
      <c r="GWF189" s="1362"/>
      <c r="GWG189" s="955"/>
      <c r="GWH189" s="963"/>
      <c r="GWI189" s="2242"/>
      <c r="GWJ189" s="1360"/>
      <c r="GWK189" s="1360"/>
      <c r="GWL189" s="1360"/>
      <c r="GWM189" s="1360"/>
      <c r="GWN189" s="1362"/>
      <c r="GWO189" s="955"/>
      <c r="GWP189" s="963"/>
      <c r="GWQ189" s="2242"/>
      <c r="GWR189" s="1360"/>
      <c r="GWS189" s="1360"/>
      <c r="GWT189" s="1360"/>
      <c r="GWU189" s="1360"/>
      <c r="GWV189" s="1362"/>
      <c r="GWW189" s="955"/>
      <c r="GWX189" s="963"/>
      <c r="GWY189" s="2242"/>
      <c r="GWZ189" s="1360"/>
      <c r="GXA189" s="1360"/>
      <c r="GXB189" s="1360"/>
      <c r="GXC189" s="1360"/>
      <c r="GXD189" s="1362"/>
      <c r="GXE189" s="955"/>
      <c r="GXF189" s="963"/>
      <c r="GXG189" s="2242"/>
      <c r="GXH189" s="1360"/>
      <c r="GXI189" s="1360"/>
      <c r="GXJ189" s="1360"/>
      <c r="GXK189" s="1360"/>
      <c r="GXL189" s="1362"/>
      <c r="GXM189" s="955"/>
      <c r="GXN189" s="963"/>
      <c r="GXO189" s="2242"/>
      <c r="GXP189" s="1360"/>
      <c r="GXQ189" s="1360"/>
      <c r="GXR189" s="1360"/>
      <c r="GXS189" s="1360"/>
      <c r="GXT189" s="1362"/>
      <c r="GXU189" s="955"/>
      <c r="GXV189" s="963"/>
      <c r="GXW189" s="2242"/>
      <c r="GXX189" s="1360"/>
      <c r="GXY189" s="1360"/>
      <c r="GXZ189" s="1360"/>
      <c r="GYA189" s="1360"/>
      <c r="GYB189" s="1362"/>
      <c r="GYC189" s="955"/>
      <c r="GYD189" s="963"/>
      <c r="GYE189" s="2242"/>
      <c r="GYF189" s="1360"/>
      <c r="GYG189" s="1360"/>
      <c r="GYH189" s="1360"/>
      <c r="GYI189" s="1360"/>
      <c r="GYJ189" s="1362"/>
      <c r="GYK189" s="955"/>
      <c r="GYL189" s="963"/>
      <c r="GYM189" s="2242"/>
      <c r="GYN189" s="1360"/>
      <c r="GYO189" s="1360"/>
      <c r="GYP189" s="1360"/>
      <c r="GYQ189" s="1360"/>
      <c r="GYR189" s="1362"/>
      <c r="GYS189" s="955"/>
      <c r="GYT189" s="963"/>
      <c r="GYU189" s="2242"/>
      <c r="GYV189" s="1360"/>
      <c r="GYW189" s="1360"/>
      <c r="GYX189" s="1360"/>
      <c r="GYY189" s="1360"/>
      <c r="GYZ189" s="1362"/>
      <c r="GZA189" s="955"/>
      <c r="GZB189" s="963"/>
      <c r="GZC189" s="2242"/>
      <c r="GZD189" s="1360"/>
      <c r="GZE189" s="1360"/>
      <c r="GZF189" s="1360"/>
      <c r="GZG189" s="1360"/>
      <c r="GZH189" s="1362"/>
      <c r="GZI189" s="955"/>
      <c r="GZJ189" s="963"/>
      <c r="GZK189" s="2242"/>
      <c r="GZL189" s="1360"/>
      <c r="GZM189" s="1360"/>
      <c r="GZN189" s="1360"/>
      <c r="GZO189" s="1360"/>
      <c r="GZP189" s="1362"/>
      <c r="GZQ189" s="955"/>
      <c r="GZR189" s="963"/>
      <c r="GZS189" s="2242"/>
      <c r="GZT189" s="1360"/>
      <c r="GZU189" s="1360"/>
      <c r="GZV189" s="1360"/>
      <c r="GZW189" s="1360"/>
      <c r="GZX189" s="1362"/>
      <c r="GZY189" s="955"/>
      <c r="GZZ189" s="963"/>
      <c r="HAA189" s="2242"/>
      <c r="HAB189" s="1360"/>
      <c r="HAC189" s="1360"/>
      <c r="HAD189" s="1360"/>
      <c r="HAE189" s="1360"/>
      <c r="HAF189" s="1362"/>
      <c r="HAG189" s="955"/>
      <c r="HAH189" s="963"/>
      <c r="HAI189" s="2242"/>
      <c r="HAJ189" s="1360"/>
      <c r="HAK189" s="1360"/>
      <c r="HAL189" s="1360"/>
      <c r="HAM189" s="1360"/>
      <c r="HAN189" s="1362"/>
      <c r="HAO189" s="955"/>
      <c r="HAP189" s="963"/>
      <c r="HAQ189" s="2242"/>
      <c r="HAR189" s="1360"/>
      <c r="HAS189" s="1360"/>
      <c r="HAT189" s="1360"/>
      <c r="HAU189" s="1360"/>
      <c r="HAV189" s="1362"/>
      <c r="HAW189" s="955"/>
      <c r="HAX189" s="963"/>
      <c r="HAY189" s="2242"/>
      <c r="HAZ189" s="1360"/>
      <c r="HBA189" s="1360"/>
      <c r="HBB189" s="1360"/>
      <c r="HBC189" s="1360"/>
      <c r="HBD189" s="1362"/>
      <c r="HBE189" s="955"/>
      <c r="HBF189" s="963"/>
      <c r="HBG189" s="2242"/>
      <c r="HBH189" s="1360"/>
      <c r="HBI189" s="1360"/>
      <c r="HBJ189" s="1360"/>
      <c r="HBK189" s="1360"/>
      <c r="HBL189" s="1362"/>
      <c r="HBM189" s="955"/>
      <c r="HBN189" s="963"/>
      <c r="HBO189" s="2242"/>
      <c r="HBP189" s="1360"/>
      <c r="HBQ189" s="1360"/>
      <c r="HBR189" s="1360"/>
      <c r="HBS189" s="1360"/>
      <c r="HBT189" s="1362"/>
      <c r="HBU189" s="955"/>
      <c r="HBV189" s="963"/>
      <c r="HBW189" s="2242"/>
      <c r="HBX189" s="1360"/>
      <c r="HBY189" s="1360"/>
      <c r="HBZ189" s="1360"/>
      <c r="HCA189" s="1360"/>
      <c r="HCB189" s="1362"/>
      <c r="HCC189" s="955"/>
      <c r="HCD189" s="963"/>
      <c r="HCE189" s="2242"/>
      <c r="HCF189" s="1360"/>
      <c r="HCG189" s="1360"/>
      <c r="HCH189" s="1360"/>
      <c r="HCI189" s="1360"/>
      <c r="HCJ189" s="1362"/>
      <c r="HCK189" s="955"/>
      <c r="HCL189" s="963"/>
      <c r="HCM189" s="2242"/>
      <c r="HCN189" s="1360"/>
      <c r="HCO189" s="1360"/>
      <c r="HCP189" s="1360"/>
      <c r="HCQ189" s="1360"/>
      <c r="HCR189" s="1362"/>
      <c r="HCS189" s="955"/>
      <c r="HCT189" s="963"/>
      <c r="HCU189" s="2242"/>
      <c r="HCV189" s="1360"/>
      <c r="HCW189" s="1360"/>
      <c r="HCX189" s="1360"/>
      <c r="HCY189" s="1360"/>
      <c r="HCZ189" s="1362"/>
      <c r="HDA189" s="955"/>
      <c r="HDB189" s="963"/>
      <c r="HDC189" s="2242"/>
      <c r="HDD189" s="1360"/>
      <c r="HDE189" s="1360"/>
      <c r="HDF189" s="1360"/>
      <c r="HDG189" s="1360"/>
      <c r="HDH189" s="1362"/>
      <c r="HDI189" s="955"/>
      <c r="HDJ189" s="963"/>
      <c r="HDK189" s="2242"/>
      <c r="HDL189" s="1360"/>
      <c r="HDM189" s="1360"/>
      <c r="HDN189" s="1360"/>
      <c r="HDO189" s="1360"/>
      <c r="HDP189" s="1362"/>
      <c r="HDQ189" s="955"/>
      <c r="HDR189" s="963"/>
      <c r="HDS189" s="2242"/>
      <c r="HDT189" s="1360"/>
      <c r="HDU189" s="1360"/>
      <c r="HDV189" s="1360"/>
      <c r="HDW189" s="1360"/>
      <c r="HDX189" s="1362"/>
      <c r="HDY189" s="955"/>
      <c r="HDZ189" s="963"/>
      <c r="HEA189" s="2242"/>
      <c r="HEB189" s="1360"/>
      <c r="HEC189" s="1360"/>
      <c r="HED189" s="1360"/>
      <c r="HEE189" s="1360"/>
      <c r="HEF189" s="1362"/>
      <c r="HEG189" s="955"/>
      <c r="HEH189" s="963"/>
      <c r="HEI189" s="2242"/>
      <c r="HEJ189" s="1360"/>
      <c r="HEK189" s="1360"/>
      <c r="HEL189" s="1360"/>
      <c r="HEM189" s="1360"/>
      <c r="HEN189" s="1362"/>
      <c r="HEO189" s="955"/>
      <c r="HEP189" s="963"/>
      <c r="HEQ189" s="2242"/>
      <c r="HER189" s="1360"/>
      <c r="HES189" s="1360"/>
      <c r="HET189" s="1360"/>
      <c r="HEU189" s="1360"/>
      <c r="HEV189" s="1362"/>
      <c r="HEW189" s="955"/>
      <c r="HEX189" s="963"/>
      <c r="HEY189" s="2242"/>
      <c r="HEZ189" s="1360"/>
      <c r="HFA189" s="1360"/>
      <c r="HFB189" s="1360"/>
      <c r="HFC189" s="1360"/>
      <c r="HFD189" s="1362"/>
      <c r="HFE189" s="955"/>
      <c r="HFF189" s="963"/>
      <c r="HFG189" s="2242"/>
      <c r="HFH189" s="1360"/>
      <c r="HFI189" s="1360"/>
      <c r="HFJ189" s="1360"/>
      <c r="HFK189" s="1360"/>
      <c r="HFL189" s="1362"/>
      <c r="HFM189" s="955"/>
      <c r="HFN189" s="963"/>
      <c r="HFO189" s="2242"/>
      <c r="HFP189" s="1360"/>
      <c r="HFQ189" s="1360"/>
      <c r="HFR189" s="1360"/>
      <c r="HFS189" s="1360"/>
      <c r="HFT189" s="1362"/>
      <c r="HFU189" s="955"/>
      <c r="HFV189" s="963"/>
      <c r="HFW189" s="2242"/>
      <c r="HFX189" s="1360"/>
      <c r="HFY189" s="1360"/>
      <c r="HFZ189" s="1360"/>
      <c r="HGA189" s="1360"/>
      <c r="HGB189" s="1362"/>
      <c r="HGC189" s="955"/>
      <c r="HGD189" s="963"/>
      <c r="HGE189" s="2242"/>
      <c r="HGF189" s="1360"/>
      <c r="HGG189" s="1360"/>
      <c r="HGH189" s="1360"/>
      <c r="HGI189" s="1360"/>
      <c r="HGJ189" s="1362"/>
      <c r="HGK189" s="955"/>
      <c r="HGL189" s="963"/>
      <c r="HGM189" s="2242"/>
      <c r="HGN189" s="1360"/>
      <c r="HGO189" s="1360"/>
      <c r="HGP189" s="1360"/>
      <c r="HGQ189" s="1360"/>
      <c r="HGR189" s="1362"/>
      <c r="HGS189" s="955"/>
      <c r="HGT189" s="963"/>
      <c r="HGU189" s="2242"/>
      <c r="HGV189" s="1360"/>
      <c r="HGW189" s="1360"/>
      <c r="HGX189" s="1360"/>
      <c r="HGY189" s="1360"/>
      <c r="HGZ189" s="1362"/>
      <c r="HHA189" s="955"/>
      <c r="HHB189" s="963"/>
      <c r="HHC189" s="2242"/>
      <c r="HHD189" s="1360"/>
      <c r="HHE189" s="1360"/>
      <c r="HHF189" s="1360"/>
      <c r="HHG189" s="1360"/>
      <c r="HHH189" s="1362"/>
      <c r="HHI189" s="955"/>
      <c r="HHJ189" s="963"/>
      <c r="HHK189" s="2242"/>
      <c r="HHL189" s="1360"/>
      <c r="HHM189" s="1360"/>
      <c r="HHN189" s="1360"/>
      <c r="HHO189" s="1360"/>
      <c r="HHP189" s="1362"/>
      <c r="HHQ189" s="955"/>
      <c r="HHR189" s="963"/>
      <c r="HHS189" s="2242"/>
      <c r="HHT189" s="1360"/>
      <c r="HHU189" s="1360"/>
      <c r="HHV189" s="1360"/>
      <c r="HHW189" s="1360"/>
      <c r="HHX189" s="1362"/>
      <c r="HHY189" s="955"/>
      <c r="HHZ189" s="963"/>
      <c r="HIA189" s="2242"/>
      <c r="HIB189" s="1360"/>
      <c r="HIC189" s="1360"/>
      <c r="HID189" s="1360"/>
      <c r="HIE189" s="1360"/>
      <c r="HIF189" s="1362"/>
      <c r="HIG189" s="955"/>
      <c r="HIH189" s="963"/>
      <c r="HII189" s="2242"/>
      <c r="HIJ189" s="1360"/>
      <c r="HIK189" s="1360"/>
      <c r="HIL189" s="1360"/>
      <c r="HIM189" s="1360"/>
      <c r="HIN189" s="1362"/>
      <c r="HIO189" s="955"/>
      <c r="HIP189" s="963"/>
      <c r="HIQ189" s="2242"/>
      <c r="HIR189" s="1360"/>
      <c r="HIS189" s="1360"/>
      <c r="HIT189" s="1360"/>
      <c r="HIU189" s="1360"/>
      <c r="HIV189" s="1362"/>
      <c r="HIW189" s="955"/>
      <c r="HIX189" s="963"/>
      <c r="HIY189" s="2242"/>
      <c r="HIZ189" s="1360"/>
      <c r="HJA189" s="1360"/>
      <c r="HJB189" s="1360"/>
      <c r="HJC189" s="1360"/>
      <c r="HJD189" s="1362"/>
      <c r="HJE189" s="955"/>
      <c r="HJF189" s="963"/>
      <c r="HJG189" s="2242"/>
      <c r="HJH189" s="1360"/>
      <c r="HJI189" s="1360"/>
      <c r="HJJ189" s="1360"/>
      <c r="HJK189" s="1360"/>
      <c r="HJL189" s="1362"/>
      <c r="HJM189" s="955"/>
      <c r="HJN189" s="963"/>
      <c r="HJO189" s="2242"/>
      <c r="HJP189" s="1360"/>
      <c r="HJQ189" s="1360"/>
      <c r="HJR189" s="1360"/>
      <c r="HJS189" s="1360"/>
      <c r="HJT189" s="1362"/>
      <c r="HJU189" s="955"/>
      <c r="HJV189" s="963"/>
      <c r="HJW189" s="2242"/>
      <c r="HJX189" s="1360"/>
      <c r="HJY189" s="1360"/>
      <c r="HJZ189" s="1360"/>
      <c r="HKA189" s="1360"/>
      <c r="HKB189" s="1362"/>
      <c r="HKC189" s="955"/>
      <c r="HKD189" s="963"/>
      <c r="HKE189" s="2242"/>
      <c r="HKF189" s="1360"/>
      <c r="HKG189" s="1360"/>
      <c r="HKH189" s="1360"/>
      <c r="HKI189" s="1360"/>
      <c r="HKJ189" s="1362"/>
      <c r="HKK189" s="955"/>
      <c r="HKL189" s="963"/>
      <c r="HKM189" s="2242"/>
      <c r="HKN189" s="1360"/>
      <c r="HKO189" s="1360"/>
      <c r="HKP189" s="1360"/>
      <c r="HKQ189" s="1360"/>
      <c r="HKR189" s="1362"/>
      <c r="HKS189" s="955"/>
      <c r="HKT189" s="963"/>
      <c r="HKU189" s="2242"/>
      <c r="HKV189" s="1360"/>
      <c r="HKW189" s="1360"/>
      <c r="HKX189" s="1360"/>
      <c r="HKY189" s="1360"/>
      <c r="HKZ189" s="1362"/>
      <c r="HLA189" s="955"/>
      <c r="HLB189" s="963"/>
      <c r="HLC189" s="2242"/>
      <c r="HLD189" s="1360"/>
      <c r="HLE189" s="1360"/>
      <c r="HLF189" s="1360"/>
      <c r="HLG189" s="1360"/>
      <c r="HLH189" s="1362"/>
      <c r="HLI189" s="955"/>
      <c r="HLJ189" s="963"/>
      <c r="HLK189" s="2242"/>
      <c r="HLL189" s="1360"/>
      <c r="HLM189" s="1360"/>
      <c r="HLN189" s="1360"/>
      <c r="HLO189" s="1360"/>
      <c r="HLP189" s="1362"/>
      <c r="HLQ189" s="955"/>
      <c r="HLR189" s="963"/>
      <c r="HLS189" s="2242"/>
      <c r="HLT189" s="1360"/>
      <c r="HLU189" s="1360"/>
      <c r="HLV189" s="1360"/>
      <c r="HLW189" s="1360"/>
      <c r="HLX189" s="1362"/>
      <c r="HLY189" s="955"/>
      <c r="HLZ189" s="963"/>
      <c r="HMA189" s="2242"/>
      <c r="HMB189" s="1360"/>
      <c r="HMC189" s="1360"/>
      <c r="HMD189" s="1360"/>
      <c r="HME189" s="1360"/>
      <c r="HMF189" s="1362"/>
      <c r="HMG189" s="955"/>
      <c r="HMH189" s="963"/>
      <c r="HMI189" s="2242"/>
      <c r="HMJ189" s="1360"/>
      <c r="HMK189" s="1360"/>
      <c r="HML189" s="1360"/>
      <c r="HMM189" s="1360"/>
      <c r="HMN189" s="1362"/>
      <c r="HMO189" s="955"/>
      <c r="HMP189" s="963"/>
      <c r="HMQ189" s="2242"/>
      <c r="HMR189" s="1360"/>
      <c r="HMS189" s="1360"/>
      <c r="HMT189" s="1360"/>
      <c r="HMU189" s="1360"/>
      <c r="HMV189" s="1362"/>
      <c r="HMW189" s="955"/>
      <c r="HMX189" s="963"/>
      <c r="HMY189" s="2242"/>
      <c r="HMZ189" s="1360"/>
      <c r="HNA189" s="1360"/>
      <c r="HNB189" s="1360"/>
      <c r="HNC189" s="1360"/>
      <c r="HND189" s="1362"/>
      <c r="HNE189" s="955"/>
      <c r="HNF189" s="963"/>
      <c r="HNG189" s="2242"/>
      <c r="HNH189" s="1360"/>
      <c r="HNI189" s="1360"/>
      <c r="HNJ189" s="1360"/>
      <c r="HNK189" s="1360"/>
      <c r="HNL189" s="1362"/>
      <c r="HNM189" s="955"/>
      <c r="HNN189" s="963"/>
      <c r="HNO189" s="2242"/>
      <c r="HNP189" s="1360"/>
      <c r="HNQ189" s="1360"/>
      <c r="HNR189" s="1360"/>
      <c r="HNS189" s="1360"/>
      <c r="HNT189" s="1362"/>
      <c r="HNU189" s="955"/>
      <c r="HNV189" s="963"/>
      <c r="HNW189" s="2242"/>
      <c r="HNX189" s="1360"/>
      <c r="HNY189" s="1360"/>
      <c r="HNZ189" s="1360"/>
      <c r="HOA189" s="1360"/>
      <c r="HOB189" s="1362"/>
      <c r="HOC189" s="955"/>
      <c r="HOD189" s="963"/>
      <c r="HOE189" s="2242"/>
      <c r="HOF189" s="1360"/>
      <c r="HOG189" s="1360"/>
      <c r="HOH189" s="1360"/>
      <c r="HOI189" s="1360"/>
      <c r="HOJ189" s="1362"/>
      <c r="HOK189" s="955"/>
      <c r="HOL189" s="963"/>
      <c r="HOM189" s="2242"/>
      <c r="HON189" s="1360"/>
      <c r="HOO189" s="1360"/>
      <c r="HOP189" s="1360"/>
      <c r="HOQ189" s="1360"/>
      <c r="HOR189" s="1362"/>
      <c r="HOS189" s="955"/>
      <c r="HOT189" s="963"/>
      <c r="HOU189" s="2242"/>
      <c r="HOV189" s="1360"/>
      <c r="HOW189" s="1360"/>
      <c r="HOX189" s="1360"/>
      <c r="HOY189" s="1360"/>
      <c r="HOZ189" s="1362"/>
      <c r="HPA189" s="955"/>
      <c r="HPB189" s="963"/>
      <c r="HPC189" s="2242"/>
      <c r="HPD189" s="1360"/>
      <c r="HPE189" s="1360"/>
      <c r="HPF189" s="1360"/>
      <c r="HPG189" s="1360"/>
      <c r="HPH189" s="1362"/>
      <c r="HPI189" s="955"/>
      <c r="HPJ189" s="963"/>
      <c r="HPK189" s="2242"/>
      <c r="HPL189" s="1360"/>
      <c r="HPM189" s="1360"/>
      <c r="HPN189" s="1360"/>
      <c r="HPO189" s="1360"/>
      <c r="HPP189" s="1362"/>
      <c r="HPQ189" s="955"/>
      <c r="HPR189" s="963"/>
      <c r="HPS189" s="2242"/>
      <c r="HPT189" s="1360"/>
      <c r="HPU189" s="1360"/>
      <c r="HPV189" s="1360"/>
      <c r="HPW189" s="1360"/>
      <c r="HPX189" s="1362"/>
      <c r="HPY189" s="955"/>
      <c r="HPZ189" s="963"/>
      <c r="HQA189" s="2242"/>
      <c r="HQB189" s="1360"/>
      <c r="HQC189" s="1360"/>
      <c r="HQD189" s="1360"/>
      <c r="HQE189" s="1360"/>
      <c r="HQF189" s="1362"/>
      <c r="HQG189" s="955"/>
      <c r="HQH189" s="963"/>
      <c r="HQI189" s="2242"/>
      <c r="HQJ189" s="1360"/>
      <c r="HQK189" s="1360"/>
      <c r="HQL189" s="1360"/>
      <c r="HQM189" s="1360"/>
      <c r="HQN189" s="1362"/>
      <c r="HQO189" s="955"/>
      <c r="HQP189" s="963"/>
      <c r="HQQ189" s="2242"/>
      <c r="HQR189" s="1360"/>
      <c r="HQS189" s="1360"/>
      <c r="HQT189" s="1360"/>
      <c r="HQU189" s="1360"/>
      <c r="HQV189" s="1362"/>
      <c r="HQW189" s="955"/>
      <c r="HQX189" s="963"/>
      <c r="HQY189" s="2242"/>
      <c r="HQZ189" s="1360"/>
      <c r="HRA189" s="1360"/>
      <c r="HRB189" s="1360"/>
      <c r="HRC189" s="1360"/>
      <c r="HRD189" s="1362"/>
      <c r="HRE189" s="955"/>
      <c r="HRF189" s="963"/>
      <c r="HRG189" s="2242"/>
      <c r="HRH189" s="1360"/>
      <c r="HRI189" s="1360"/>
      <c r="HRJ189" s="1360"/>
      <c r="HRK189" s="1360"/>
      <c r="HRL189" s="1362"/>
      <c r="HRM189" s="955"/>
      <c r="HRN189" s="963"/>
      <c r="HRO189" s="2242"/>
      <c r="HRP189" s="1360"/>
      <c r="HRQ189" s="1360"/>
      <c r="HRR189" s="1360"/>
      <c r="HRS189" s="1360"/>
      <c r="HRT189" s="1362"/>
      <c r="HRU189" s="955"/>
      <c r="HRV189" s="963"/>
      <c r="HRW189" s="2242"/>
      <c r="HRX189" s="1360"/>
      <c r="HRY189" s="1360"/>
      <c r="HRZ189" s="1360"/>
      <c r="HSA189" s="1360"/>
      <c r="HSB189" s="1362"/>
      <c r="HSC189" s="955"/>
      <c r="HSD189" s="963"/>
      <c r="HSE189" s="2242"/>
      <c r="HSF189" s="1360"/>
      <c r="HSG189" s="1360"/>
      <c r="HSH189" s="1360"/>
      <c r="HSI189" s="1360"/>
      <c r="HSJ189" s="1362"/>
      <c r="HSK189" s="955"/>
      <c r="HSL189" s="963"/>
      <c r="HSM189" s="2242"/>
      <c r="HSN189" s="1360"/>
      <c r="HSO189" s="1360"/>
      <c r="HSP189" s="1360"/>
      <c r="HSQ189" s="1360"/>
      <c r="HSR189" s="1362"/>
      <c r="HSS189" s="955"/>
      <c r="HST189" s="963"/>
      <c r="HSU189" s="2242"/>
      <c r="HSV189" s="1360"/>
      <c r="HSW189" s="1360"/>
      <c r="HSX189" s="1360"/>
      <c r="HSY189" s="1360"/>
      <c r="HSZ189" s="1362"/>
      <c r="HTA189" s="955"/>
      <c r="HTB189" s="963"/>
      <c r="HTC189" s="2242"/>
      <c r="HTD189" s="1360"/>
      <c r="HTE189" s="1360"/>
      <c r="HTF189" s="1360"/>
      <c r="HTG189" s="1360"/>
      <c r="HTH189" s="1362"/>
      <c r="HTI189" s="955"/>
      <c r="HTJ189" s="963"/>
      <c r="HTK189" s="2242"/>
      <c r="HTL189" s="1360"/>
      <c r="HTM189" s="1360"/>
      <c r="HTN189" s="1360"/>
      <c r="HTO189" s="1360"/>
      <c r="HTP189" s="1362"/>
      <c r="HTQ189" s="955"/>
      <c r="HTR189" s="963"/>
      <c r="HTS189" s="2242"/>
      <c r="HTT189" s="1360"/>
      <c r="HTU189" s="1360"/>
      <c r="HTV189" s="1360"/>
      <c r="HTW189" s="1360"/>
      <c r="HTX189" s="1362"/>
      <c r="HTY189" s="955"/>
      <c r="HTZ189" s="963"/>
      <c r="HUA189" s="2242"/>
      <c r="HUB189" s="1360"/>
      <c r="HUC189" s="1360"/>
      <c r="HUD189" s="1360"/>
      <c r="HUE189" s="1360"/>
      <c r="HUF189" s="1362"/>
      <c r="HUG189" s="955"/>
      <c r="HUH189" s="963"/>
      <c r="HUI189" s="2242"/>
      <c r="HUJ189" s="1360"/>
      <c r="HUK189" s="1360"/>
      <c r="HUL189" s="1360"/>
      <c r="HUM189" s="1360"/>
      <c r="HUN189" s="1362"/>
      <c r="HUO189" s="955"/>
      <c r="HUP189" s="963"/>
      <c r="HUQ189" s="2242"/>
      <c r="HUR189" s="1360"/>
      <c r="HUS189" s="1360"/>
      <c r="HUT189" s="1360"/>
      <c r="HUU189" s="1360"/>
      <c r="HUV189" s="1362"/>
      <c r="HUW189" s="955"/>
      <c r="HUX189" s="963"/>
      <c r="HUY189" s="2242"/>
      <c r="HUZ189" s="1360"/>
      <c r="HVA189" s="1360"/>
      <c r="HVB189" s="1360"/>
      <c r="HVC189" s="1360"/>
      <c r="HVD189" s="1362"/>
      <c r="HVE189" s="955"/>
      <c r="HVF189" s="963"/>
      <c r="HVG189" s="2242"/>
      <c r="HVH189" s="1360"/>
      <c r="HVI189" s="1360"/>
      <c r="HVJ189" s="1360"/>
      <c r="HVK189" s="1360"/>
      <c r="HVL189" s="1362"/>
      <c r="HVM189" s="955"/>
      <c r="HVN189" s="963"/>
      <c r="HVO189" s="2242"/>
      <c r="HVP189" s="1360"/>
      <c r="HVQ189" s="1360"/>
      <c r="HVR189" s="1360"/>
      <c r="HVS189" s="1360"/>
      <c r="HVT189" s="1362"/>
      <c r="HVU189" s="955"/>
      <c r="HVV189" s="963"/>
      <c r="HVW189" s="2242"/>
      <c r="HVX189" s="1360"/>
      <c r="HVY189" s="1360"/>
      <c r="HVZ189" s="1360"/>
      <c r="HWA189" s="1360"/>
      <c r="HWB189" s="1362"/>
      <c r="HWC189" s="955"/>
      <c r="HWD189" s="963"/>
      <c r="HWE189" s="2242"/>
      <c r="HWF189" s="1360"/>
      <c r="HWG189" s="1360"/>
      <c r="HWH189" s="1360"/>
      <c r="HWI189" s="1360"/>
      <c r="HWJ189" s="1362"/>
      <c r="HWK189" s="955"/>
      <c r="HWL189" s="963"/>
      <c r="HWM189" s="2242"/>
      <c r="HWN189" s="1360"/>
      <c r="HWO189" s="1360"/>
      <c r="HWP189" s="1360"/>
      <c r="HWQ189" s="1360"/>
      <c r="HWR189" s="1362"/>
      <c r="HWS189" s="955"/>
      <c r="HWT189" s="963"/>
      <c r="HWU189" s="2242"/>
      <c r="HWV189" s="1360"/>
      <c r="HWW189" s="1360"/>
      <c r="HWX189" s="1360"/>
      <c r="HWY189" s="1360"/>
      <c r="HWZ189" s="1362"/>
      <c r="HXA189" s="955"/>
      <c r="HXB189" s="963"/>
      <c r="HXC189" s="2242"/>
      <c r="HXD189" s="1360"/>
      <c r="HXE189" s="1360"/>
      <c r="HXF189" s="1360"/>
      <c r="HXG189" s="1360"/>
      <c r="HXH189" s="1362"/>
      <c r="HXI189" s="955"/>
      <c r="HXJ189" s="963"/>
      <c r="HXK189" s="2242"/>
      <c r="HXL189" s="1360"/>
      <c r="HXM189" s="1360"/>
      <c r="HXN189" s="1360"/>
      <c r="HXO189" s="1360"/>
      <c r="HXP189" s="1362"/>
      <c r="HXQ189" s="955"/>
      <c r="HXR189" s="963"/>
      <c r="HXS189" s="2242"/>
      <c r="HXT189" s="1360"/>
      <c r="HXU189" s="1360"/>
      <c r="HXV189" s="1360"/>
      <c r="HXW189" s="1360"/>
      <c r="HXX189" s="1362"/>
      <c r="HXY189" s="955"/>
      <c r="HXZ189" s="963"/>
      <c r="HYA189" s="2242"/>
      <c r="HYB189" s="1360"/>
      <c r="HYC189" s="1360"/>
      <c r="HYD189" s="1360"/>
      <c r="HYE189" s="1360"/>
      <c r="HYF189" s="1362"/>
      <c r="HYG189" s="955"/>
      <c r="HYH189" s="963"/>
      <c r="HYI189" s="2242"/>
      <c r="HYJ189" s="1360"/>
      <c r="HYK189" s="1360"/>
      <c r="HYL189" s="1360"/>
      <c r="HYM189" s="1360"/>
      <c r="HYN189" s="1362"/>
      <c r="HYO189" s="955"/>
      <c r="HYP189" s="963"/>
      <c r="HYQ189" s="2242"/>
      <c r="HYR189" s="1360"/>
      <c r="HYS189" s="1360"/>
      <c r="HYT189" s="1360"/>
      <c r="HYU189" s="1360"/>
      <c r="HYV189" s="1362"/>
      <c r="HYW189" s="955"/>
      <c r="HYX189" s="963"/>
      <c r="HYY189" s="2242"/>
      <c r="HYZ189" s="1360"/>
      <c r="HZA189" s="1360"/>
      <c r="HZB189" s="1360"/>
      <c r="HZC189" s="1360"/>
      <c r="HZD189" s="1362"/>
      <c r="HZE189" s="955"/>
      <c r="HZF189" s="963"/>
      <c r="HZG189" s="2242"/>
      <c r="HZH189" s="1360"/>
      <c r="HZI189" s="1360"/>
      <c r="HZJ189" s="1360"/>
      <c r="HZK189" s="1360"/>
      <c r="HZL189" s="1362"/>
      <c r="HZM189" s="955"/>
      <c r="HZN189" s="963"/>
      <c r="HZO189" s="2242"/>
      <c r="HZP189" s="1360"/>
      <c r="HZQ189" s="1360"/>
      <c r="HZR189" s="1360"/>
      <c r="HZS189" s="1360"/>
      <c r="HZT189" s="1362"/>
      <c r="HZU189" s="955"/>
      <c r="HZV189" s="963"/>
      <c r="HZW189" s="2242"/>
      <c r="HZX189" s="1360"/>
      <c r="HZY189" s="1360"/>
      <c r="HZZ189" s="1360"/>
      <c r="IAA189" s="1360"/>
      <c r="IAB189" s="1362"/>
      <c r="IAC189" s="955"/>
      <c r="IAD189" s="963"/>
      <c r="IAE189" s="2242"/>
      <c r="IAF189" s="1360"/>
      <c r="IAG189" s="1360"/>
      <c r="IAH189" s="1360"/>
      <c r="IAI189" s="1360"/>
      <c r="IAJ189" s="1362"/>
      <c r="IAK189" s="955"/>
      <c r="IAL189" s="963"/>
      <c r="IAM189" s="2242"/>
      <c r="IAN189" s="1360"/>
      <c r="IAO189" s="1360"/>
      <c r="IAP189" s="1360"/>
      <c r="IAQ189" s="1360"/>
      <c r="IAR189" s="1362"/>
      <c r="IAS189" s="955"/>
      <c r="IAT189" s="963"/>
      <c r="IAU189" s="2242"/>
      <c r="IAV189" s="1360"/>
      <c r="IAW189" s="1360"/>
      <c r="IAX189" s="1360"/>
      <c r="IAY189" s="1360"/>
      <c r="IAZ189" s="1362"/>
      <c r="IBA189" s="955"/>
      <c r="IBB189" s="963"/>
      <c r="IBC189" s="2242"/>
      <c r="IBD189" s="1360"/>
      <c r="IBE189" s="1360"/>
      <c r="IBF189" s="1360"/>
      <c r="IBG189" s="1360"/>
      <c r="IBH189" s="1362"/>
      <c r="IBI189" s="955"/>
      <c r="IBJ189" s="963"/>
      <c r="IBK189" s="2242"/>
      <c r="IBL189" s="1360"/>
      <c r="IBM189" s="1360"/>
      <c r="IBN189" s="1360"/>
      <c r="IBO189" s="1360"/>
      <c r="IBP189" s="1362"/>
      <c r="IBQ189" s="955"/>
      <c r="IBR189" s="963"/>
      <c r="IBS189" s="2242"/>
      <c r="IBT189" s="1360"/>
      <c r="IBU189" s="1360"/>
      <c r="IBV189" s="1360"/>
      <c r="IBW189" s="1360"/>
      <c r="IBX189" s="1362"/>
      <c r="IBY189" s="955"/>
      <c r="IBZ189" s="963"/>
      <c r="ICA189" s="2242"/>
      <c r="ICB189" s="1360"/>
      <c r="ICC189" s="1360"/>
      <c r="ICD189" s="1360"/>
      <c r="ICE189" s="1360"/>
      <c r="ICF189" s="1362"/>
      <c r="ICG189" s="955"/>
      <c r="ICH189" s="963"/>
      <c r="ICI189" s="2242"/>
      <c r="ICJ189" s="1360"/>
      <c r="ICK189" s="1360"/>
      <c r="ICL189" s="1360"/>
      <c r="ICM189" s="1360"/>
      <c r="ICN189" s="1362"/>
      <c r="ICO189" s="955"/>
      <c r="ICP189" s="963"/>
      <c r="ICQ189" s="2242"/>
      <c r="ICR189" s="1360"/>
      <c r="ICS189" s="1360"/>
      <c r="ICT189" s="1360"/>
      <c r="ICU189" s="1360"/>
      <c r="ICV189" s="1362"/>
      <c r="ICW189" s="955"/>
      <c r="ICX189" s="963"/>
      <c r="ICY189" s="2242"/>
      <c r="ICZ189" s="1360"/>
      <c r="IDA189" s="1360"/>
      <c r="IDB189" s="1360"/>
      <c r="IDC189" s="1360"/>
      <c r="IDD189" s="1362"/>
      <c r="IDE189" s="955"/>
      <c r="IDF189" s="963"/>
      <c r="IDG189" s="2242"/>
      <c r="IDH189" s="1360"/>
      <c r="IDI189" s="1360"/>
      <c r="IDJ189" s="1360"/>
      <c r="IDK189" s="1360"/>
      <c r="IDL189" s="1362"/>
      <c r="IDM189" s="955"/>
      <c r="IDN189" s="963"/>
      <c r="IDO189" s="2242"/>
      <c r="IDP189" s="1360"/>
      <c r="IDQ189" s="1360"/>
      <c r="IDR189" s="1360"/>
      <c r="IDS189" s="1360"/>
      <c r="IDT189" s="1362"/>
      <c r="IDU189" s="955"/>
      <c r="IDV189" s="963"/>
      <c r="IDW189" s="2242"/>
      <c r="IDX189" s="1360"/>
      <c r="IDY189" s="1360"/>
      <c r="IDZ189" s="1360"/>
      <c r="IEA189" s="1360"/>
      <c r="IEB189" s="1362"/>
      <c r="IEC189" s="955"/>
      <c r="IED189" s="963"/>
      <c r="IEE189" s="2242"/>
      <c r="IEF189" s="1360"/>
      <c r="IEG189" s="1360"/>
      <c r="IEH189" s="1360"/>
      <c r="IEI189" s="1360"/>
      <c r="IEJ189" s="1362"/>
      <c r="IEK189" s="955"/>
      <c r="IEL189" s="963"/>
      <c r="IEM189" s="2242"/>
      <c r="IEN189" s="1360"/>
      <c r="IEO189" s="1360"/>
      <c r="IEP189" s="1360"/>
      <c r="IEQ189" s="1360"/>
      <c r="IER189" s="1362"/>
      <c r="IES189" s="955"/>
      <c r="IET189" s="963"/>
      <c r="IEU189" s="2242"/>
      <c r="IEV189" s="1360"/>
      <c r="IEW189" s="1360"/>
      <c r="IEX189" s="1360"/>
      <c r="IEY189" s="1360"/>
      <c r="IEZ189" s="1362"/>
      <c r="IFA189" s="955"/>
      <c r="IFB189" s="963"/>
      <c r="IFC189" s="2242"/>
      <c r="IFD189" s="1360"/>
      <c r="IFE189" s="1360"/>
      <c r="IFF189" s="1360"/>
      <c r="IFG189" s="1360"/>
      <c r="IFH189" s="1362"/>
      <c r="IFI189" s="955"/>
      <c r="IFJ189" s="963"/>
      <c r="IFK189" s="2242"/>
      <c r="IFL189" s="1360"/>
      <c r="IFM189" s="1360"/>
      <c r="IFN189" s="1360"/>
      <c r="IFO189" s="1360"/>
      <c r="IFP189" s="1362"/>
      <c r="IFQ189" s="955"/>
      <c r="IFR189" s="963"/>
      <c r="IFS189" s="2242"/>
      <c r="IFT189" s="1360"/>
      <c r="IFU189" s="1360"/>
      <c r="IFV189" s="1360"/>
      <c r="IFW189" s="1360"/>
      <c r="IFX189" s="1362"/>
      <c r="IFY189" s="955"/>
      <c r="IFZ189" s="963"/>
      <c r="IGA189" s="2242"/>
      <c r="IGB189" s="1360"/>
      <c r="IGC189" s="1360"/>
      <c r="IGD189" s="1360"/>
      <c r="IGE189" s="1360"/>
      <c r="IGF189" s="1362"/>
      <c r="IGG189" s="955"/>
      <c r="IGH189" s="963"/>
      <c r="IGI189" s="2242"/>
      <c r="IGJ189" s="1360"/>
      <c r="IGK189" s="1360"/>
      <c r="IGL189" s="1360"/>
      <c r="IGM189" s="1360"/>
      <c r="IGN189" s="1362"/>
      <c r="IGO189" s="955"/>
      <c r="IGP189" s="963"/>
      <c r="IGQ189" s="2242"/>
      <c r="IGR189" s="1360"/>
      <c r="IGS189" s="1360"/>
      <c r="IGT189" s="1360"/>
      <c r="IGU189" s="1360"/>
      <c r="IGV189" s="1362"/>
      <c r="IGW189" s="955"/>
      <c r="IGX189" s="963"/>
      <c r="IGY189" s="2242"/>
      <c r="IGZ189" s="1360"/>
      <c r="IHA189" s="1360"/>
      <c r="IHB189" s="1360"/>
      <c r="IHC189" s="1360"/>
      <c r="IHD189" s="1362"/>
      <c r="IHE189" s="955"/>
      <c r="IHF189" s="963"/>
      <c r="IHG189" s="2242"/>
      <c r="IHH189" s="1360"/>
      <c r="IHI189" s="1360"/>
      <c r="IHJ189" s="1360"/>
      <c r="IHK189" s="1360"/>
      <c r="IHL189" s="1362"/>
      <c r="IHM189" s="955"/>
      <c r="IHN189" s="963"/>
      <c r="IHO189" s="2242"/>
      <c r="IHP189" s="1360"/>
      <c r="IHQ189" s="1360"/>
      <c r="IHR189" s="1360"/>
      <c r="IHS189" s="1360"/>
      <c r="IHT189" s="1362"/>
      <c r="IHU189" s="955"/>
      <c r="IHV189" s="963"/>
      <c r="IHW189" s="2242"/>
      <c r="IHX189" s="1360"/>
      <c r="IHY189" s="1360"/>
      <c r="IHZ189" s="1360"/>
      <c r="IIA189" s="1360"/>
      <c r="IIB189" s="1362"/>
      <c r="IIC189" s="955"/>
      <c r="IID189" s="963"/>
      <c r="IIE189" s="2242"/>
      <c r="IIF189" s="1360"/>
      <c r="IIG189" s="1360"/>
      <c r="IIH189" s="1360"/>
      <c r="III189" s="1360"/>
      <c r="IIJ189" s="1362"/>
      <c r="IIK189" s="955"/>
      <c r="IIL189" s="963"/>
      <c r="IIM189" s="2242"/>
      <c r="IIN189" s="1360"/>
      <c r="IIO189" s="1360"/>
      <c r="IIP189" s="1360"/>
      <c r="IIQ189" s="1360"/>
      <c r="IIR189" s="1362"/>
      <c r="IIS189" s="955"/>
      <c r="IIT189" s="963"/>
      <c r="IIU189" s="2242"/>
      <c r="IIV189" s="1360"/>
      <c r="IIW189" s="1360"/>
      <c r="IIX189" s="1360"/>
      <c r="IIY189" s="1360"/>
      <c r="IIZ189" s="1362"/>
      <c r="IJA189" s="955"/>
      <c r="IJB189" s="963"/>
      <c r="IJC189" s="2242"/>
      <c r="IJD189" s="1360"/>
      <c r="IJE189" s="1360"/>
      <c r="IJF189" s="1360"/>
      <c r="IJG189" s="1360"/>
      <c r="IJH189" s="1362"/>
      <c r="IJI189" s="955"/>
      <c r="IJJ189" s="963"/>
      <c r="IJK189" s="2242"/>
      <c r="IJL189" s="1360"/>
      <c r="IJM189" s="1360"/>
      <c r="IJN189" s="1360"/>
      <c r="IJO189" s="1360"/>
      <c r="IJP189" s="1362"/>
      <c r="IJQ189" s="955"/>
      <c r="IJR189" s="963"/>
      <c r="IJS189" s="2242"/>
      <c r="IJT189" s="1360"/>
      <c r="IJU189" s="1360"/>
      <c r="IJV189" s="1360"/>
      <c r="IJW189" s="1360"/>
      <c r="IJX189" s="1362"/>
      <c r="IJY189" s="955"/>
      <c r="IJZ189" s="963"/>
      <c r="IKA189" s="2242"/>
      <c r="IKB189" s="1360"/>
      <c r="IKC189" s="1360"/>
      <c r="IKD189" s="1360"/>
      <c r="IKE189" s="1360"/>
      <c r="IKF189" s="1362"/>
      <c r="IKG189" s="955"/>
      <c r="IKH189" s="963"/>
      <c r="IKI189" s="2242"/>
      <c r="IKJ189" s="1360"/>
      <c r="IKK189" s="1360"/>
      <c r="IKL189" s="1360"/>
      <c r="IKM189" s="1360"/>
      <c r="IKN189" s="1362"/>
      <c r="IKO189" s="955"/>
      <c r="IKP189" s="963"/>
      <c r="IKQ189" s="2242"/>
      <c r="IKR189" s="1360"/>
      <c r="IKS189" s="1360"/>
      <c r="IKT189" s="1360"/>
      <c r="IKU189" s="1360"/>
      <c r="IKV189" s="1362"/>
      <c r="IKW189" s="955"/>
      <c r="IKX189" s="963"/>
      <c r="IKY189" s="2242"/>
      <c r="IKZ189" s="1360"/>
      <c r="ILA189" s="1360"/>
      <c r="ILB189" s="1360"/>
      <c r="ILC189" s="1360"/>
      <c r="ILD189" s="1362"/>
      <c r="ILE189" s="955"/>
      <c r="ILF189" s="963"/>
      <c r="ILG189" s="2242"/>
      <c r="ILH189" s="1360"/>
      <c r="ILI189" s="1360"/>
      <c r="ILJ189" s="1360"/>
      <c r="ILK189" s="1360"/>
      <c r="ILL189" s="1362"/>
      <c r="ILM189" s="955"/>
      <c r="ILN189" s="963"/>
      <c r="ILO189" s="2242"/>
      <c r="ILP189" s="1360"/>
      <c r="ILQ189" s="1360"/>
      <c r="ILR189" s="1360"/>
      <c r="ILS189" s="1360"/>
      <c r="ILT189" s="1362"/>
      <c r="ILU189" s="955"/>
      <c r="ILV189" s="963"/>
      <c r="ILW189" s="2242"/>
      <c r="ILX189" s="1360"/>
      <c r="ILY189" s="1360"/>
      <c r="ILZ189" s="1360"/>
      <c r="IMA189" s="1360"/>
      <c r="IMB189" s="1362"/>
      <c r="IMC189" s="955"/>
      <c r="IMD189" s="963"/>
      <c r="IME189" s="2242"/>
      <c r="IMF189" s="1360"/>
      <c r="IMG189" s="1360"/>
      <c r="IMH189" s="1360"/>
      <c r="IMI189" s="1360"/>
      <c r="IMJ189" s="1362"/>
      <c r="IMK189" s="955"/>
      <c r="IML189" s="963"/>
      <c r="IMM189" s="2242"/>
      <c r="IMN189" s="1360"/>
      <c r="IMO189" s="1360"/>
      <c r="IMP189" s="1360"/>
      <c r="IMQ189" s="1360"/>
      <c r="IMR189" s="1362"/>
      <c r="IMS189" s="955"/>
      <c r="IMT189" s="963"/>
      <c r="IMU189" s="2242"/>
      <c r="IMV189" s="1360"/>
      <c r="IMW189" s="1360"/>
      <c r="IMX189" s="1360"/>
      <c r="IMY189" s="1360"/>
      <c r="IMZ189" s="1362"/>
      <c r="INA189" s="955"/>
      <c r="INB189" s="963"/>
      <c r="INC189" s="2242"/>
      <c r="IND189" s="1360"/>
      <c r="INE189" s="1360"/>
      <c r="INF189" s="1360"/>
      <c r="ING189" s="1360"/>
      <c r="INH189" s="1362"/>
      <c r="INI189" s="955"/>
      <c r="INJ189" s="963"/>
      <c r="INK189" s="2242"/>
      <c r="INL189" s="1360"/>
      <c r="INM189" s="1360"/>
      <c r="INN189" s="1360"/>
      <c r="INO189" s="1360"/>
      <c r="INP189" s="1362"/>
      <c r="INQ189" s="955"/>
      <c r="INR189" s="963"/>
      <c r="INS189" s="2242"/>
      <c r="INT189" s="1360"/>
      <c r="INU189" s="1360"/>
      <c r="INV189" s="1360"/>
      <c r="INW189" s="1360"/>
      <c r="INX189" s="1362"/>
      <c r="INY189" s="955"/>
      <c r="INZ189" s="963"/>
      <c r="IOA189" s="2242"/>
      <c r="IOB189" s="1360"/>
      <c r="IOC189" s="1360"/>
      <c r="IOD189" s="1360"/>
      <c r="IOE189" s="1360"/>
      <c r="IOF189" s="1362"/>
      <c r="IOG189" s="955"/>
      <c r="IOH189" s="963"/>
      <c r="IOI189" s="2242"/>
      <c r="IOJ189" s="1360"/>
      <c r="IOK189" s="1360"/>
      <c r="IOL189" s="1360"/>
      <c r="IOM189" s="1360"/>
      <c r="ION189" s="1362"/>
      <c r="IOO189" s="955"/>
      <c r="IOP189" s="963"/>
      <c r="IOQ189" s="2242"/>
      <c r="IOR189" s="1360"/>
      <c r="IOS189" s="1360"/>
      <c r="IOT189" s="1360"/>
      <c r="IOU189" s="1360"/>
      <c r="IOV189" s="1362"/>
      <c r="IOW189" s="955"/>
      <c r="IOX189" s="963"/>
      <c r="IOY189" s="2242"/>
      <c r="IOZ189" s="1360"/>
      <c r="IPA189" s="1360"/>
      <c r="IPB189" s="1360"/>
      <c r="IPC189" s="1360"/>
      <c r="IPD189" s="1362"/>
      <c r="IPE189" s="955"/>
      <c r="IPF189" s="963"/>
      <c r="IPG189" s="2242"/>
      <c r="IPH189" s="1360"/>
      <c r="IPI189" s="1360"/>
      <c r="IPJ189" s="1360"/>
      <c r="IPK189" s="1360"/>
      <c r="IPL189" s="1362"/>
      <c r="IPM189" s="955"/>
      <c r="IPN189" s="963"/>
      <c r="IPO189" s="2242"/>
      <c r="IPP189" s="1360"/>
      <c r="IPQ189" s="1360"/>
      <c r="IPR189" s="1360"/>
      <c r="IPS189" s="1360"/>
      <c r="IPT189" s="1362"/>
      <c r="IPU189" s="955"/>
      <c r="IPV189" s="963"/>
      <c r="IPW189" s="2242"/>
      <c r="IPX189" s="1360"/>
      <c r="IPY189" s="1360"/>
      <c r="IPZ189" s="1360"/>
      <c r="IQA189" s="1360"/>
      <c r="IQB189" s="1362"/>
      <c r="IQC189" s="955"/>
      <c r="IQD189" s="963"/>
      <c r="IQE189" s="2242"/>
      <c r="IQF189" s="1360"/>
      <c r="IQG189" s="1360"/>
      <c r="IQH189" s="1360"/>
      <c r="IQI189" s="1360"/>
      <c r="IQJ189" s="1362"/>
      <c r="IQK189" s="955"/>
      <c r="IQL189" s="963"/>
      <c r="IQM189" s="2242"/>
      <c r="IQN189" s="1360"/>
      <c r="IQO189" s="1360"/>
      <c r="IQP189" s="1360"/>
      <c r="IQQ189" s="1360"/>
      <c r="IQR189" s="1362"/>
      <c r="IQS189" s="955"/>
      <c r="IQT189" s="963"/>
      <c r="IQU189" s="2242"/>
      <c r="IQV189" s="1360"/>
      <c r="IQW189" s="1360"/>
      <c r="IQX189" s="1360"/>
      <c r="IQY189" s="1360"/>
      <c r="IQZ189" s="1362"/>
      <c r="IRA189" s="955"/>
      <c r="IRB189" s="963"/>
      <c r="IRC189" s="2242"/>
      <c r="IRD189" s="1360"/>
      <c r="IRE189" s="1360"/>
      <c r="IRF189" s="1360"/>
      <c r="IRG189" s="1360"/>
      <c r="IRH189" s="1362"/>
      <c r="IRI189" s="955"/>
      <c r="IRJ189" s="963"/>
      <c r="IRK189" s="2242"/>
      <c r="IRL189" s="1360"/>
      <c r="IRM189" s="1360"/>
      <c r="IRN189" s="1360"/>
      <c r="IRO189" s="1360"/>
      <c r="IRP189" s="1362"/>
      <c r="IRQ189" s="955"/>
      <c r="IRR189" s="963"/>
      <c r="IRS189" s="2242"/>
      <c r="IRT189" s="1360"/>
      <c r="IRU189" s="1360"/>
      <c r="IRV189" s="1360"/>
      <c r="IRW189" s="1360"/>
      <c r="IRX189" s="1362"/>
      <c r="IRY189" s="955"/>
      <c r="IRZ189" s="963"/>
      <c r="ISA189" s="2242"/>
      <c r="ISB189" s="1360"/>
      <c r="ISC189" s="1360"/>
      <c r="ISD189" s="1360"/>
      <c r="ISE189" s="1360"/>
      <c r="ISF189" s="1362"/>
      <c r="ISG189" s="955"/>
      <c r="ISH189" s="963"/>
      <c r="ISI189" s="2242"/>
      <c r="ISJ189" s="1360"/>
      <c r="ISK189" s="1360"/>
      <c r="ISL189" s="1360"/>
      <c r="ISM189" s="1360"/>
      <c r="ISN189" s="1362"/>
      <c r="ISO189" s="955"/>
      <c r="ISP189" s="963"/>
      <c r="ISQ189" s="2242"/>
      <c r="ISR189" s="1360"/>
      <c r="ISS189" s="1360"/>
      <c r="IST189" s="1360"/>
      <c r="ISU189" s="1360"/>
      <c r="ISV189" s="1362"/>
      <c r="ISW189" s="955"/>
      <c r="ISX189" s="963"/>
      <c r="ISY189" s="2242"/>
      <c r="ISZ189" s="1360"/>
      <c r="ITA189" s="1360"/>
      <c r="ITB189" s="1360"/>
      <c r="ITC189" s="1360"/>
      <c r="ITD189" s="1362"/>
      <c r="ITE189" s="955"/>
      <c r="ITF189" s="963"/>
      <c r="ITG189" s="2242"/>
      <c r="ITH189" s="1360"/>
      <c r="ITI189" s="1360"/>
      <c r="ITJ189" s="1360"/>
      <c r="ITK189" s="1360"/>
      <c r="ITL189" s="1362"/>
      <c r="ITM189" s="955"/>
      <c r="ITN189" s="963"/>
      <c r="ITO189" s="2242"/>
      <c r="ITP189" s="1360"/>
      <c r="ITQ189" s="1360"/>
      <c r="ITR189" s="1360"/>
      <c r="ITS189" s="1360"/>
      <c r="ITT189" s="1362"/>
      <c r="ITU189" s="955"/>
      <c r="ITV189" s="963"/>
      <c r="ITW189" s="2242"/>
      <c r="ITX189" s="1360"/>
      <c r="ITY189" s="1360"/>
      <c r="ITZ189" s="1360"/>
      <c r="IUA189" s="1360"/>
      <c r="IUB189" s="1362"/>
      <c r="IUC189" s="955"/>
      <c r="IUD189" s="963"/>
      <c r="IUE189" s="2242"/>
      <c r="IUF189" s="1360"/>
      <c r="IUG189" s="1360"/>
      <c r="IUH189" s="1360"/>
      <c r="IUI189" s="1360"/>
      <c r="IUJ189" s="1362"/>
      <c r="IUK189" s="955"/>
      <c r="IUL189" s="963"/>
      <c r="IUM189" s="2242"/>
      <c r="IUN189" s="1360"/>
      <c r="IUO189" s="1360"/>
      <c r="IUP189" s="1360"/>
      <c r="IUQ189" s="1360"/>
      <c r="IUR189" s="1362"/>
      <c r="IUS189" s="955"/>
      <c r="IUT189" s="963"/>
      <c r="IUU189" s="2242"/>
      <c r="IUV189" s="1360"/>
      <c r="IUW189" s="1360"/>
      <c r="IUX189" s="1360"/>
      <c r="IUY189" s="1360"/>
      <c r="IUZ189" s="1362"/>
      <c r="IVA189" s="955"/>
      <c r="IVB189" s="963"/>
      <c r="IVC189" s="2242"/>
      <c r="IVD189" s="1360"/>
      <c r="IVE189" s="1360"/>
      <c r="IVF189" s="1360"/>
      <c r="IVG189" s="1360"/>
      <c r="IVH189" s="1362"/>
      <c r="IVI189" s="955"/>
      <c r="IVJ189" s="963"/>
      <c r="IVK189" s="2242"/>
      <c r="IVL189" s="1360"/>
      <c r="IVM189" s="1360"/>
      <c r="IVN189" s="1360"/>
      <c r="IVO189" s="1360"/>
      <c r="IVP189" s="1362"/>
      <c r="IVQ189" s="955"/>
      <c r="IVR189" s="963"/>
      <c r="IVS189" s="2242"/>
      <c r="IVT189" s="1360"/>
      <c r="IVU189" s="1360"/>
      <c r="IVV189" s="1360"/>
      <c r="IVW189" s="1360"/>
      <c r="IVX189" s="1362"/>
      <c r="IVY189" s="955"/>
      <c r="IVZ189" s="963"/>
      <c r="IWA189" s="2242"/>
      <c r="IWB189" s="1360"/>
      <c r="IWC189" s="1360"/>
      <c r="IWD189" s="1360"/>
      <c r="IWE189" s="1360"/>
      <c r="IWF189" s="1362"/>
      <c r="IWG189" s="955"/>
      <c r="IWH189" s="963"/>
      <c r="IWI189" s="2242"/>
      <c r="IWJ189" s="1360"/>
      <c r="IWK189" s="1360"/>
      <c r="IWL189" s="1360"/>
      <c r="IWM189" s="1360"/>
      <c r="IWN189" s="1362"/>
      <c r="IWO189" s="955"/>
      <c r="IWP189" s="963"/>
      <c r="IWQ189" s="2242"/>
      <c r="IWR189" s="1360"/>
      <c r="IWS189" s="1360"/>
      <c r="IWT189" s="1360"/>
      <c r="IWU189" s="1360"/>
      <c r="IWV189" s="1362"/>
      <c r="IWW189" s="955"/>
      <c r="IWX189" s="963"/>
      <c r="IWY189" s="2242"/>
      <c r="IWZ189" s="1360"/>
      <c r="IXA189" s="1360"/>
      <c r="IXB189" s="1360"/>
      <c r="IXC189" s="1360"/>
      <c r="IXD189" s="1362"/>
      <c r="IXE189" s="955"/>
      <c r="IXF189" s="963"/>
      <c r="IXG189" s="2242"/>
      <c r="IXH189" s="1360"/>
      <c r="IXI189" s="1360"/>
      <c r="IXJ189" s="1360"/>
      <c r="IXK189" s="1360"/>
      <c r="IXL189" s="1362"/>
      <c r="IXM189" s="955"/>
      <c r="IXN189" s="963"/>
      <c r="IXO189" s="2242"/>
      <c r="IXP189" s="1360"/>
      <c r="IXQ189" s="1360"/>
      <c r="IXR189" s="1360"/>
      <c r="IXS189" s="1360"/>
      <c r="IXT189" s="1362"/>
      <c r="IXU189" s="955"/>
      <c r="IXV189" s="963"/>
      <c r="IXW189" s="2242"/>
      <c r="IXX189" s="1360"/>
      <c r="IXY189" s="1360"/>
      <c r="IXZ189" s="1360"/>
      <c r="IYA189" s="1360"/>
      <c r="IYB189" s="1362"/>
      <c r="IYC189" s="955"/>
      <c r="IYD189" s="963"/>
      <c r="IYE189" s="2242"/>
      <c r="IYF189" s="1360"/>
      <c r="IYG189" s="1360"/>
      <c r="IYH189" s="1360"/>
      <c r="IYI189" s="1360"/>
      <c r="IYJ189" s="1362"/>
      <c r="IYK189" s="955"/>
      <c r="IYL189" s="963"/>
      <c r="IYM189" s="2242"/>
      <c r="IYN189" s="1360"/>
      <c r="IYO189" s="1360"/>
      <c r="IYP189" s="1360"/>
      <c r="IYQ189" s="1360"/>
      <c r="IYR189" s="1362"/>
      <c r="IYS189" s="955"/>
      <c r="IYT189" s="963"/>
      <c r="IYU189" s="2242"/>
      <c r="IYV189" s="1360"/>
      <c r="IYW189" s="1360"/>
      <c r="IYX189" s="1360"/>
      <c r="IYY189" s="1360"/>
      <c r="IYZ189" s="1362"/>
      <c r="IZA189" s="955"/>
      <c r="IZB189" s="963"/>
      <c r="IZC189" s="2242"/>
      <c r="IZD189" s="1360"/>
      <c r="IZE189" s="1360"/>
      <c r="IZF189" s="1360"/>
      <c r="IZG189" s="1360"/>
      <c r="IZH189" s="1362"/>
      <c r="IZI189" s="955"/>
      <c r="IZJ189" s="963"/>
      <c r="IZK189" s="2242"/>
      <c r="IZL189" s="1360"/>
      <c r="IZM189" s="1360"/>
      <c r="IZN189" s="1360"/>
      <c r="IZO189" s="1360"/>
      <c r="IZP189" s="1362"/>
      <c r="IZQ189" s="955"/>
      <c r="IZR189" s="963"/>
      <c r="IZS189" s="2242"/>
      <c r="IZT189" s="1360"/>
      <c r="IZU189" s="1360"/>
      <c r="IZV189" s="1360"/>
      <c r="IZW189" s="1360"/>
      <c r="IZX189" s="1362"/>
      <c r="IZY189" s="955"/>
      <c r="IZZ189" s="963"/>
      <c r="JAA189" s="2242"/>
      <c r="JAB189" s="1360"/>
      <c r="JAC189" s="1360"/>
      <c r="JAD189" s="1360"/>
      <c r="JAE189" s="1360"/>
      <c r="JAF189" s="1362"/>
      <c r="JAG189" s="955"/>
      <c r="JAH189" s="963"/>
      <c r="JAI189" s="2242"/>
      <c r="JAJ189" s="1360"/>
      <c r="JAK189" s="1360"/>
      <c r="JAL189" s="1360"/>
      <c r="JAM189" s="1360"/>
      <c r="JAN189" s="1362"/>
      <c r="JAO189" s="955"/>
      <c r="JAP189" s="963"/>
      <c r="JAQ189" s="2242"/>
      <c r="JAR189" s="1360"/>
      <c r="JAS189" s="1360"/>
      <c r="JAT189" s="1360"/>
      <c r="JAU189" s="1360"/>
      <c r="JAV189" s="1362"/>
      <c r="JAW189" s="955"/>
      <c r="JAX189" s="963"/>
      <c r="JAY189" s="2242"/>
      <c r="JAZ189" s="1360"/>
      <c r="JBA189" s="1360"/>
      <c r="JBB189" s="1360"/>
      <c r="JBC189" s="1360"/>
      <c r="JBD189" s="1362"/>
      <c r="JBE189" s="955"/>
      <c r="JBF189" s="963"/>
      <c r="JBG189" s="2242"/>
      <c r="JBH189" s="1360"/>
      <c r="JBI189" s="1360"/>
      <c r="JBJ189" s="1360"/>
      <c r="JBK189" s="1360"/>
      <c r="JBL189" s="1362"/>
      <c r="JBM189" s="955"/>
      <c r="JBN189" s="963"/>
      <c r="JBO189" s="2242"/>
      <c r="JBP189" s="1360"/>
      <c r="JBQ189" s="1360"/>
      <c r="JBR189" s="1360"/>
      <c r="JBS189" s="1360"/>
      <c r="JBT189" s="1362"/>
      <c r="JBU189" s="955"/>
      <c r="JBV189" s="963"/>
      <c r="JBW189" s="2242"/>
      <c r="JBX189" s="1360"/>
      <c r="JBY189" s="1360"/>
      <c r="JBZ189" s="1360"/>
      <c r="JCA189" s="1360"/>
      <c r="JCB189" s="1362"/>
      <c r="JCC189" s="955"/>
      <c r="JCD189" s="963"/>
      <c r="JCE189" s="2242"/>
      <c r="JCF189" s="1360"/>
      <c r="JCG189" s="1360"/>
      <c r="JCH189" s="1360"/>
      <c r="JCI189" s="1360"/>
      <c r="JCJ189" s="1362"/>
      <c r="JCK189" s="955"/>
      <c r="JCL189" s="963"/>
      <c r="JCM189" s="2242"/>
      <c r="JCN189" s="1360"/>
      <c r="JCO189" s="1360"/>
      <c r="JCP189" s="1360"/>
      <c r="JCQ189" s="1360"/>
      <c r="JCR189" s="1362"/>
      <c r="JCS189" s="955"/>
      <c r="JCT189" s="963"/>
      <c r="JCU189" s="2242"/>
      <c r="JCV189" s="1360"/>
      <c r="JCW189" s="1360"/>
      <c r="JCX189" s="1360"/>
      <c r="JCY189" s="1360"/>
      <c r="JCZ189" s="1362"/>
      <c r="JDA189" s="955"/>
      <c r="JDB189" s="963"/>
      <c r="JDC189" s="2242"/>
      <c r="JDD189" s="1360"/>
      <c r="JDE189" s="1360"/>
      <c r="JDF189" s="1360"/>
      <c r="JDG189" s="1360"/>
      <c r="JDH189" s="1362"/>
      <c r="JDI189" s="955"/>
      <c r="JDJ189" s="963"/>
      <c r="JDK189" s="2242"/>
      <c r="JDL189" s="1360"/>
      <c r="JDM189" s="1360"/>
      <c r="JDN189" s="1360"/>
      <c r="JDO189" s="1360"/>
      <c r="JDP189" s="1362"/>
      <c r="JDQ189" s="955"/>
      <c r="JDR189" s="963"/>
      <c r="JDS189" s="2242"/>
      <c r="JDT189" s="1360"/>
      <c r="JDU189" s="1360"/>
      <c r="JDV189" s="1360"/>
      <c r="JDW189" s="1360"/>
      <c r="JDX189" s="1362"/>
      <c r="JDY189" s="955"/>
      <c r="JDZ189" s="963"/>
      <c r="JEA189" s="2242"/>
      <c r="JEB189" s="1360"/>
      <c r="JEC189" s="1360"/>
      <c r="JED189" s="1360"/>
      <c r="JEE189" s="1360"/>
      <c r="JEF189" s="1362"/>
      <c r="JEG189" s="955"/>
      <c r="JEH189" s="963"/>
      <c r="JEI189" s="2242"/>
      <c r="JEJ189" s="1360"/>
      <c r="JEK189" s="1360"/>
      <c r="JEL189" s="1360"/>
      <c r="JEM189" s="1360"/>
      <c r="JEN189" s="1362"/>
      <c r="JEO189" s="955"/>
      <c r="JEP189" s="963"/>
      <c r="JEQ189" s="2242"/>
      <c r="JER189" s="1360"/>
      <c r="JES189" s="1360"/>
      <c r="JET189" s="1360"/>
      <c r="JEU189" s="1360"/>
      <c r="JEV189" s="1362"/>
      <c r="JEW189" s="955"/>
      <c r="JEX189" s="963"/>
      <c r="JEY189" s="2242"/>
      <c r="JEZ189" s="1360"/>
      <c r="JFA189" s="1360"/>
      <c r="JFB189" s="1360"/>
      <c r="JFC189" s="1360"/>
      <c r="JFD189" s="1362"/>
      <c r="JFE189" s="955"/>
      <c r="JFF189" s="963"/>
      <c r="JFG189" s="2242"/>
      <c r="JFH189" s="1360"/>
      <c r="JFI189" s="1360"/>
      <c r="JFJ189" s="1360"/>
      <c r="JFK189" s="1360"/>
      <c r="JFL189" s="1362"/>
      <c r="JFM189" s="955"/>
      <c r="JFN189" s="963"/>
      <c r="JFO189" s="2242"/>
      <c r="JFP189" s="1360"/>
      <c r="JFQ189" s="1360"/>
      <c r="JFR189" s="1360"/>
      <c r="JFS189" s="1360"/>
      <c r="JFT189" s="1362"/>
      <c r="JFU189" s="955"/>
      <c r="JFV189" s="963"/>
      <c r="JFW189" s="2242"/>
      <c r="JFX189" s="1360"/>
      <c r="JFY189" s="1360"/>
      <c r="JFZ189" s="1360"/>
      <c r="JGA189" s="1360"/>
      <c r="JGB189" s="1362"/>
      <c r="JGC189" s="955"/>
      <c r="JGD189" s="963"/>
      <c r="JGE189" s="2242"/>
      <c r="JGF189" s="1360"/>
      <c r="JGG189" s="1360"/>
      <c r="JGH189" s="1360"/>
      <c r="JGI189" s="1360"/>
      <c r="JGJ189" s="1362"/>
      <c r="JGK189" s="955"/>
      <c r="JGL189" s="963"/>
      <c r="JGM189" s="2242"/>
      <c r="JGN189" s="1360"/>
      <c r="JGO189" s="1360"/>
      <c r="JGP189" s="1360"/>
      <c r="JGQ189" s="1360"/>
      <c r="JGR189" s="1362"/>
      <c r="JGS189" s="955"/>
      <c r="JGT189" s="963"/>
      <c r="JGU189" s="2242"/>
      <c r="JGV189" s="1360"/>
      <c r="JGW189" s="1360"/>
      <c r="JGX189" s="1360"/>
      <c r="JGY189" s="1360"/>
      <c r="JGZ189" s="1362"/>
      <c r="JHA189" s="955"/>
      <c r="JHB189" s="963"/>
      <c r="JHC189" s="2242"/>
      <c r="JHD189" s="1360"/>
      <c r="JHE189" s="1360"/>
      <c r="JHF189" s="1360"/>
      <c r="JHG189" s="1360"/>
      <c r="JHH189" s="1362"/>
      <c r="JHI189" s="955"/>
      <c r="JHJ189" s="963"/>
      <c r="JHK189" s="2242"/>
      <c r="JHL189" s="1360"/>
      <c r="JHM189" s="1360"/>
      <c r="JHN189" s="1360"/>
      <c r="JHO189" s="1360"/>
      <c r="JHP189" s="1362"/>
      <c r="JHQ189" s="955"/>
      <c r="JHR189" s="963"/>
      <c r="JHS189" s="2242"/>
      <c r="JHT189" s="1360"/>
      <c r="JHU189" s="1360"/>
      <c r="JHV189" s="1360"/>
      <c r="JHW189" s="1360"/>
      <c r="JHX189" s="1362"/>
      <c r="JHY189" s="955"/>
      <c r="JHZ189" s="963"/>
      <c r="JIA189" s="2242"/>
      <c r="JIB189" s="1360"/>
      <c r="JIC189" s="1360"/>
      <c r="JID189" s="1360"/>
      <c r="JIE189" s="1360"/>
      <c r="JIF189" s="1362"/>
      <c r="JIG189" s="955"/>
      <c r="JIH189" s="963"/>
      <c r="JII189" s="2242"/>
      <c r="JIJ189" s="1360"/>
      <c r="JIK189" s="1360"/>
      <c r="JIL189" s="1360"/>
      <c r="JIM189" s="1360"/>
      <c r="JIN189" s="1362"/>
      <c r="JIO189" s="955"/>
      <c r="JIP189" s="963"/>
      <c r="JIQ189" s="2242"/>
      <c r="JIR189" s="1360"/>
      <c r="JIS189" s="1360"/>
      <c r="JIT189" s="1360"/>
      <c r="JIU189" s="1360"/>
      <c r="JIV189" s="1362"/>
      <c r="JIW189" s="955"/>
      <c r="JIX189" s="963"/>
      <c r="JIY189" s="2242"/>
      <c r="JIZ189" s="1360"/>
      <c r="JJA189" s="1360"/>
      <c r="JJB189" s="1360"/>
      <c r="JJC189" s="1360"/>
      <c r="JJD189" s="1362"/>
      <c r="JJE189" s="955"/>
      <c r="JJF189" s="963"/>
      <c r="JJG189" s="2242"/>
      <c r="JJH189" s="1360"/>
      <c r="JJI189" s="1360"/>
      <c r="JJJ189" s="1360"/>
      <c r="JJK189" s="1360"/>
      <c r="JJL189" s="1362"/>
      <c r="JJM189" s="955"/>
      <c r="JJN189" s="963"/>
      <c r="JJO189" s="2242"/>
      <c r="JJP189" s="1360"/>
      <c r="JJQ189" s="1360"/>
      <c r="JJR189" s="1360"/>
      <c r="JJS189" s="1360"/>
      <c r="JJT189" s="1362"/>
      <c r="JJU189" s="955"/>
      <c r="JJV189" s="963"/>
      <c r="JJW189" s="2242"/>
      <c r="JJX189" s="1360"/>
      <c r="JJY189" s="1360"/>
      <c r="JJZ189" s="1360"/>
      <c r="JKA189" s="1360"/>
      <c r="JKB189" s="1362"/>
      <c r="JKC189" s="955"/>
      <c r="JKD189" s="963"/>
      <c r="JKE189" s="2242"/>
      <c r="JKF189" s="1360"/>
      <c r="JKG189" s="1360"/>
      <c r="JKH189" s="1360"/>
      <c r="JKI189" s="1360"/>
      <c r="JKJ189" s="1362"/>
      <c r="JKK189" s="955"/>
      <c r="JKL189" s="963"/>
      <c r="JKM189" s="2242"/>
      <c r="JKN189" s="1360"/>
      <c r="JKO189" s="1360"/>
      <c r="JKP189" s="1360"/>
      <c r="JKQ189" s="1360"/>
      <c r="JKR189" s="1362"/>
      <c r="JKS189" s="955"/>
      <c r="JKT189" s="963"/>
      <c r="JKU189" s="2242"/>
      <c r="JKV189" s="1360"/>
      <c r="JKW189" s="1360"/>
      <c r="JKX189" s="1360"/>
      <c r="JKY189" s="1360"/>
      <c r="JKZ189" s="1362"/>
      <c r="JLA189" s="955"/>
      <c r="JLB189" s="963"/>
      <c r="JLC189" s="2242"/>
      <c r="JLD189" s="1360"/>
      <c r="JLE189" s="1360"/>
      <c r="JLF189" s="1360"/>
      <c r="JLG189" s="1360"/>
      <c r="JLH189" s="1362"/>
      <c r="JLI189" s="955"/>
      <c r="JLJ189" s="963"/>
      <c r="JLK189" s="2242"/>
      <c r="JLL189" s="1360"/>
      <c r="JLM189" s="1360"/>
      <c r="JLN189" s="1360"/>
      <c r="JLO189" s="1360"/>
      <c r="JLP189" s="1362"/>
      <c r="JLQ189" s="955"/>
      <c r="JLR189" s="963"/>
      <c r="JLS189" s="2242"/>
      <c r="JLT189" s="1360"/>
      <c r="JLU189" s="1360"/>
      <c r="JLV189" s="1360"/>
      <c r="JLW189" s="1360"/>
      <c r="JLX189" s="1362"/>
      <c r="JLY189" s="955"/>
      <c r="JLZ189" s="963"/>
      <c r="JMA189" s="2242"/>
      <c r="JMB189" s="1360"/>
      <c r="JMC189" s="1360"/>
      <c r="JMD189" s="1360"/>
      <c r="JME189" s="1360"/>
      <c r="JMF189" s="1362"/>
      <c r="JMG189" s="955"/>
      <c r="JMH189" s="963"/>
      <c r="JMI189" s="2242"/>
      <c r="JMJ189" s="1360"/>
      <c r="JMK189" s="1360"/>
      <c r="JML189" s="1360"/>
      <c r="JMM189" s="1360"/>
      <c r="JMN189" s="1362"/>
      <c r="JMO189" s="955"/>
      <c r="JMP189" s="963"/>
      <c r="JMQ189" s="2242"/>
      <c r="JMR189" s="1360"/>
      <c r="JMS189" s="1360"/>
      <c r="JMT189" s="1360"/>
      <c r="JMU189" s="1360"/>
      <c r="JMV189" s="1362"/>
      <c r="JMW189" s="955"/>
      <c r="JMX189" s="963"/>
      <c r="JMY189" s="2242"/>
      <c r="JMZ189" s="1360"/>
      <c r="JNA189" s="1360"/>
      <c r="JNB189" s="1360"/>
      <c r="JNC189" s="1360"/>
      <c r="JND189" s="1362"/>
      <c r="JNE189" s="955"/>
      <c r="JNF189" s="963"/>
      <c r="JNG189" s="2242"/>
      <c r="JNH189" s="1360"/>
      <c r="JNI189" s="1360"/>
      <c r="JNJ189" s="1360"/>
      <c r="JNK189" s="1360"/>
      <c r="JNL189" s="1362"/>
      <c r="JNM189" s="955"/>
      <c r="JNN189" s="963"/>
      <c r="JNO189" s="2242"/>
      <c r="JNP189" s="1360"/>
      <c r="JNQ189" s="1360"/>
      <c r="JNR189" s="1360"/>
      <c r="JNS189" s="1360"/>
      <c r="JNT189" s="1362"/>
      <c r="JNU189" s="955"/>
      <c r="JNV189" s="963"/>
      <c r="JNW189" s="2242"/>
      <c r="JNX189" s="1360"/>
      <c r="JNY189" s="1360"/>
      <c r="JNZ189" s="1360"/>
      <c r="JOA189" s="1360"/>
      <c r="JOB189" s="1362"/>
      <c r="JOC189" s="955"/>
      <c r="JOD189" s="963"/>
      <c r="JOE189" s="2242"/>
      <c r="JOF189" s="1360"/>
      <c r="JOG189" s="1360"/>
      <c r="JOH189" s="1360"/>
      <c r="JOI189" s="1360"/>
      <c r="JOJ189" s="1362"/>
      <c r="JOK189" s="955"/>
      <c r="JOL189" s="963"/>
      <c r="JOM189" s="2242"/>
      <c r="JON189" s="1360"/>
      <c r="JOO189" s="1360"/>
      <c r="JOP189" s="1360"/>
      <c r="JOQ189" s="1360"/>
      <c r="JOR189" s="1362"/>
      <c r="JOS189" s="955"/>
      <c r="JOT189" s="963"/>
      <c r="JOU189" s="2242"/>
      <c r="JOV189" s="1360"/>
      <c r="JOW189" s="1360"/>
      <c r="JOX189" s="1360"/>
      <c r="JOY189" s="1360"/>
      <c r="JOZ189" s="1362"/>
      <c r="JPA189" s="955"/>
      <c r="JPB189" s="963"/>
      <c r="JPC189" s="2242"/>
      <c r="JPD189" s="1360"/>
      <c r="JPE189" s="1360"/>
      <c r="JPF189" s="1360"/>
      <c r="JPG189" s="1360"/>
      <c r="JPH189" s="1362"/>
      <c r="JPI189" s="955"/>
      <c r="JPJ189" s="963"/>
      <c r="JPK189" s="2242"/>
      <c r="JPL189" s="1360"/>
      <c r="JPM189" s="1360"/>
      <c r="JPN189" s="1360"/>
      <c r="JPO189" s="1360"/>
      <c r="JPP189" s="1362"/>
      <c r="JPQ189" s="955"/>
      <c r="JPR189" s="963"/>
      <c r="JPS189" s="2242"/>
      <c r="JPT189" s="1360"/>
      <c r="JPU189" s="1360"/>
      <c r="JPV189" s="1360"/>
      <c r="JPW189" s="1360"/>
      <c r="JPX189" s="1362"/>
      <c r="JPY189" s="955"/>
      <c r="JPZ189" s="963"/>
      <c r="JQA189" s="2242"/>
      <c r="JQB189" s="1360"/>
      <c r="JQC189" s="1360"/>
      <c r="JQD189" s="1360"/>
      <c r="JQE189" s="1360"/>
      <c r="JQF189" s="1362"/>
      <c r="JQG189" s="955"/>
      <c r="JQH189" s="963"/>
      <c r="JQI189" s="2242"/>
      <c r="JQJ189" s="1360"/>
      <c r="JQK189" s="1360"/>
      <c r="JQL189" s="1360"/>
      <c r="JQM189" s="1360"/>
      <c r="JQN189" s="1362"/>
      <c r="JQO189" s="955"/>
      <c r="JQP189" s="963"/>
      <c r="JQQ189" s="2242"/>
      <c r="JQR189" s="1360"/>
      <c r="JQS189" s="1360"/>
      <c r="JQT189" s="1360"/>
      <c r="JQU189" s="1360"/>
      <c r="JQV189" s="1362"/>
      <c r="JQW189" s="955"/>
      <c r="JQX189" s="963"/>
      <c r="JQY189" s="2242"/>
      <c r="JQZ189" s="1360"/>
      <c r="JRA189" s="1360"/>
      <c r="JRB189" s="1360"/>
      <c r="JRC189" s="1360"/>
      <c r="JRD189" s="1362"/>
      <c r="JRE189" s="955"/>
      <c r="JRF189" s="963"/>
      <c r="JRG189" s="2242"/>
      <c r="JRH189" s="1360"/>
      <c r="JRI189" s="1360"/>
      <c r="JRJ189" s="1360"/>
      <c r="JRK189" s="1360"/>
      <c r="JRL189" s="1362"/>
      <c r="JRM189" s="955"/>
      <c r="JRN189" s="963"/>
      <c r="JRO189" s="2242"/>
      <c r="JRP189" s="1360"/>
      <c r="JRQ189" s="1360"/>
      <c r="JRR189" s="1360"/>
      <c r="JRS189" s="1360"/>
      <c r="JRT189" s="1362"/>
      <c r="JRU189" s="955"/>
      <c r="JRV189" s="963"/>
      <c r="JRW189" s="2242"/>
      <c r="JRX189" s="1360"/>
      <c r="JRY189" s="1360"/>
      <c r="JRZ189" s="1360"/>
      <c r="JSA189" s="1360"/>
      <c r="JSB189" s="1362"/>
      <c r="JSC189" s="955"/>
      <c r="JSD189" s="963"/>
      <c r="JSE189" s="2242"/>
      <c r="JSF189" s="1360"/>
      <c r="JSG189" s="1360"/>
      <c r="JSH189" s="1360"/>
      <c r="JSI189" s="1360"/>
      <c r="JSJ189" s="1362"/>
      <c r="JSK189" s="955"/>
      <c r="JSL189" s="963"/>
      <c r="JSM189" s="2242"/>
      <c r="JSN189" s="1360"/>
      <c r="JSO189" s="1360"/>
      <c r="JSP189" s="1360"/>
      <c r="JSQ189" s="1360"/>
      <c r="JSR189" s="1362"/>
      <c r="JSS189" s="955"/>
      <c r="JST189" s="963"/>
      <c r="JSU189" s="2242"/>
      <c r="JSV189" s="1360"/>
      <c r="JSW189" s="1360"/>
      <c r="JSX189" s="1360"/>
      <c r="JSY189" s="1360"/>
      <c r="JSZ189" s="1362"/>
      <c r="JTA189" s="955"/>
      <c r="JTB189" s="963"/>
      <c r="JTC189" s="2242"/>
      <c r="JTD189" s="1360"/>
      <c r="JTE189" s="1360"/>
      <c r="JTF189" s="1360"/>
      <c r="JTG189" s="1360"/>
      <c r="JTH189" s="1362"/>
      <c r="JTI189" s="955"/>
      <c r="JTJ189" s="963"/>
      <c r="JTK189" s="2242"/>
      <c r="JTL189" s="1360"/>
      <c r="JTM189" s="1360"/>
      <c r="JTN189" s="1360"/>
      <c r="JTO189" s="1360"/>
      <c r="JTP189" s="1362"/>
      <c r="JTQ189" s="955"/>
      <c r="JTR189" s="963"/>
      <c r="JTS189" s="2242"/>
      <c r="JTT189" s="1360"/>
      <c r="JTU189" s="1360"/>
      <c r="JTV189" s="1360"/>
      <c r="JTW189" s="1360"/>
      <c r="JTX189" s="1362"/>
      <c r="JTY189" s="955"/>
      <c r="JTZ189" s="963"/>
      <c r="JUA189" s="2242"/>
      <c r="JUB189" s="1360"/>
      <c r="JUC189" s="1360"/>
      <c r="JUD189" s="1360"/>
      <c r="JUE189" s="1360"/>
      <c r="JUF189" s="1362"/>
      <c r="JUG189" s="955"/>
      <c r="JUH189" s="963"/>
      <c r="JUI189" s="2242"/>
      <c r="JUJ189" s="1360"/>
      <c r="JUK189" s="1360"/>
      <c r="JUL189" s="1360"/>
      <c r="JUM189" s="1360"/>
      <c r="JUN189" s="1362"/>
      <c r="JUO189" s="955"/>
      <c r="JUP189" s="963"/>
      <c r="JUQ189" s="2242"/>
      <c r="JUR189" s="1360"/>
      <c r="JUS189" s="1360"/>
      <c r="JUT189" s="1360"/>
      <c r="JUU189" s="1360"/>
      <c r="JUV189" s="1362"/>
      <c r="JUW189" s="955"/>
      <c r="JUX189" s="963"/>
      <c r="JUY189" s="2242"/>
      <c r="JUZ189" s="1360"/>
      <c r="JVA189" s="1360"/>
      <c r="JVB189" s="1360"/>
      <c r="JVC189" s="1360"/>
      <c r="JVD189" s="1362"/>
      <c r="JVE189" s="955"/>
      <c r="JVF189" s="963"/>
      <c r="JVG189" s="2242"/>
      <c r="JVH189" s="1360"/>
      <c r="JVI189" s="1360"/>
      <c r="JVJ189" s="1360"/>
      <c r="JVK189" s="1360"/>
      <c r="JVL189" s="1362"/>
      <c r="JVM189" s="955"/>
      <c r="JVN189" s="963"/>
      <c r="JVO189" s="2242"/>
      <c r="JVP189" s="1360"/>
      <c r="JVQ189" s="1360"/>
      <c r="JVR189" s="1360"/>
      <c r="JVS189" s="1360"/>
      <c r="JVT189" s="1362"/>
      <c r="JVU189" s="955"/>
      <c r="JVV189" s="963"/>
      <c r="JVW189" s="2242"/>
      <c r="JVX189" s="1360"/>
      <c r="JVY189" s="1360"/>
      <c r="JVZ189" s="1360"/>
      <c r="JWA189" s="1360"/>
      <c r="JWB189" s="1362"/>
      <c r="JWC189" s="955"/>
      <c r="JWD189" s="963"/>
      <c r="JWE189" s="2242"/>
      <c r="JWF189" s="1360"/>
      <c r="JWG189" s="1360"/>
      <c r="JWH189" s="1360"/>
      <c r="JWI189" s="1360"/>
      <c r="JWJ189" s="1362"/>
      <c r="JWK189" s="955"/>
      <c r="JWL189" s="963"/>
      <c r="JWM189" s="2242"/>
      <c r="JWN189" s="1360"/>
      <c r="JWO189" s="1360"/>
      <c r="JWP189" s="1360"/>
      <c r="JWQ189" s="1360"/>
      <c r="JWR189" s="1362"/>
      <c r="JWS189" s="955"/>
      <c r="JWT189" s="963"/>
      <c r="JWU189" s="2242"/>
      <c r="JWV189" s="1360"/>
      <c r="JWW189" s="1360"/>
      <c r="JWX189" s="1360"/>
      <c r="JWY189" s="1360"/>
      <c r="JWZ189" s="1362"/>
      <c r="JXA189" s="955"/>
      <c r="JXB189" s="963"/>
      <c r="JXC189" s="2242"/>
      <c r="JXD189" s="1360"/>
      <c r="JXE189" s="1360"/>
      <c r="JXF189" s="1360"/>
      <c r="JXG189" s="1360"/>
      <c r="JXH189" s="1362"/>
      <c r="JXI189" s="955"/>
      <c r="JXJ189" s="963"/>
      <c r="JXK189" s="2242"/>
      <c r="JXL189" s="1360"/>
      <c r="JXM189" s="1360"/>
      <c r="JXN189" s="1360"/>
      <c r="JXO189" s="1360"/>
      <c r="JXP189" s="1362"/>
      <c r="JXQ189" s="955"/>
      <c r="JXR189" s="963"/>
      <c r="JXS189" s="2242"/>
      <c r="JXT189" s="1360"/>
      <c r="JXU189" s="1360"/>
      <c r="JXV189" s="1360"/>
      <c r="JXW189" s="1360"/>
      <c r="JXX189" s="1362"/>
      <c r="JXY189" s="955"/>
      <c r="JXZ189" s="963"/>
      <c r="JYA189" s="2242"/>
      <c r="JYB189" s="1360"/>
      <c r="JYC189" s="1360"/>
      <c r="JYD189" s="1360"/>
      <c r="JYE189" s="1360"/>
      <c r="JYF189" s="1362"/>
      <c r="JYG189" s="955"/>
      <c r="JYH189" s="963"/>
      <c r="JYI189" s="2242"/>
      <c r="JYJ189" s="1360"/>
      <c r="JYK189" s="1360"/>
      <c r="JYL189" s="1360"/>
      <c r="JYM189" s="1360"/>
      <c r="JYN189" s="1362"/>
      <c r="JYO189" s="955"/>
      <c r="JYP189" s="963"/>
      <c r="JYQ189" s="2242"/>
      <c r="JYR189" s="1360"/>
      <c r="JYS189" s="1360"/>
      <c r="JYT189" s="1360"/>
      <c r="JYU189" s="1360"/>
      <c r="JYV189" s="1362"/>
      <c r="JYW189" s="955"/>
      <c r="JYX189" s="963"/>
      <c r="JYY189" s="2242"/>
      <c r="JYZ189" s="1360"/>
      <c r="JZA189" s="1360"/>
      <c r="JZB189" s="1360"/>
      <c r="JZC189" s="1360"/>
      <c r="JZD189" s="1362"/>
      <c r="JZE189" s="955"/>
      <c r="JZF189" s="963"/>
      <c r="JZG189" s="2242"/>
      <c r="JZH189" s="1360"/>
      <c r="JZI189" s="1360"/>
      <c r="JZJ189" s="1360"/>
      <c r="JZK189" s="1360"/>
      <c r="JZL189" s="1362"/>
      <c r="JZM189" s="955"/>
      <c r="JZN189" s="963"/>
      <c r="JZO189" s="2242"/>
      <c r="JZP189" s="1360"/>
      <c r="JZQ189" s="1360"/>
      <c r="JZR189" s="1360"/>
      <c r="JZS189" s="1360"/>
      <c r="JZT189" s="1362"/>
      <c r="JZU189" s="955"/>
      <c r="JZV189" s="963"/>
      <c r="JZW189" s="2242"/>
      <c r="JZX189" s="1360"/>
      <c r="JZY189" s="1360"/>
      <c r="JZZ189" s="1360"/>
      <c r="KAA189" s="1360"/>
      <c r="KAB189" s="1362"/>
      <c r="KAC189" s="955"/>
      <c r="KAD189" s="963"/>
      <c r="KAE189" s="2242"/>
      <c r="KAF189" s="1360"/>
      <c r="KAG189" s="1360"/>
      <c r="KAH189" s="1360"/>
      <c r="KAI189" s="1360"/>
      <c r="KAJ189" s="1362"/>
      <c r="KAK189" s="955"/>
      <c r="KAL189" s="963"/>
      <c r="KAM189" s="2242"/>
      <c r="KAN189" s="1360"/>
      <c r="KAO189" s="1360"/>
      <c r="KAP189" s="1360"/>
      <c r="KAQ189" s="1360"/>
      <c r="KAR189" s="1362"/>
      <c r="KAS189" s="955"/>
      <c r="KAT189" s="963"/>
      <c r="KAU189" s="2242"/>
      <c r="KAV189" s="1360"/>
      <c r="KAW189" s="1360"/>
      <c r="KAX189" s="1360"/>
      <c r="KAY189" s="1360"/>
      <c r="KAZ189" s="1362"/>
      <c r="KBA189" s="955"/>
      <c r="KBB189" s="963"/>
      <c r="KBC189" s="2242"/>
      <c r="KBD189" s="1360"/>
      <c r="KBE189" s="1360"/>
      <c r="KBF189" s="1360"/>
      <c r="KBG189" s="1360"/>
      <c r="KBH189" s="1362"/>
      <c r="KBI189" s="955"/>
      <c r="KBJ189" s="963"/>
      <c r="KBK189" s="2242"/>
      <c r="KBL189" s="1360"/>
      <c r="KBM189" s="1360"/>
      <c r="KBN189" s="1360"/>
      <c r="KBO189" s="1360"/>
      <c r="KBP189" s="1362"/>
      <c r="KBQ189" s="955"/>
      <c r="KBR189" s="963"/>
      <c r="KBS189" s="2242"/>
      <c r="KBT189" s="1360"/>
      <c r="KBU189" s="1360"/>
      <c r="KBV189" s="1360"/>
      <c r="KBW189" s="1360"/>
      <c r="KBX189" s="1362"/>
      <c r="KBY189" s="955"/>
      <c r="KBZ189" s="963"/>
      <c r="KCA189" s="2242"/>
      <c r="KCB189" s="1360"/>
      <c r="KCC189" s="1360"/>
      <c r="KCD189" s="1360"/>
      <c r="KCE189" s="1360"/>
      <c r="KCF189" s="1362"/>
      <c r="KCG189" s="955"/>
      <c r="KCH189" s="963"/>
      <c r="KCI189" s="2242"/>
      <c r="KCJ189" s="1360"/>
      <c r="KCK189" s="1360"/>
      <c r="KCL189" s="1360"/>
      <c r="KCM189" s="1360"/>
      <c r="KCN189" s="1362"/>
      <c r="KCO189" s="955"/>
      <c r="KCP189" s="963"/>
      <c r="KCQ189" s="2242"/>
      <c r="KCR189" s="1360"/>
      <c r="KCS189" s="1360"/>
      <c r="KCT189" s="1360"/>
      <c r="KCU189" s="1360"/>
      <c r="KCV189" s="1362"/>
      <c r="KCW189" s="955"/>
      <c r="KCX189" s="963"/>
      <c r="KCY189" s="2242"/>
      <c r="KCZ189" s="1360"/>
      <c r="KDA189" s="1360"/>
      <c r="KDB189" s="1360"/>
      <c r="KDC189" s="1360"/>
      <c r="KDD189" s="1362"/>
      <c r="KDE189" s="955"/>
      <c r="KDF189" s="963"/>
      <c r="KDG189" s="2242"/>
      <c r="KDH189" s="1360"/>
      <c r="KDI189" s="1360"/>
      <c r="KDJ189" s="1360"/>
      <c r="KDK189" s="1360"/>
      <c r="KDL189" s="1362"/>
      <c r="KDM189" s="955"/>
      <c r="KDN189" s="963"/>
      <c r="KDO189" s="2242"/>
      <c r="KDP189" s="1360"/>
      <c r="KDQ189" s="1360"/>
      <c r="KDR189" s="1360"/>
      <c r="KDS189" s="1360"/>
      <c r="KDT189" s="1362"/>
      <c r="KDU189" s="955"/>
      <c r="KDV189" s="963"/>
      <c r="KDW189" s="2242"/>
      <c r="KDX189" s="1360"/>
      <c r="KDY189" s="1360"/>
      <c r="KDZ189" s="1360"/>
      <c r="KEA189" s="1360"/>
      <c r="KEB189" s="1362"/>
      <c r="KEC189" s="955"/>
      <c r="KED189" s="963"/>
      <c r="KEE189" s="2242"/>
      <c r="KEF189" s="1360"/>
      <c r="KEG189" s="1360"/>
      <c r="KEH189" s="1360"/>
      <c r="KEI189" s="1360"/>
      <c r="KEJ189" s="1362"/>
      <c r="KEK189" s="955"/>
      <c r="KEL189" s="963"/>
      <c r="KEM189" s="2242"/>
      <c r="KEN189" s="1360"/>
      <c r="KEO189" s="1360"/>
      <c r="KEP189" s="1360"/>
      <c r="KEQ189" s="1360"/>
      <c r="KER189" s="1362"/>
      <c r="KES189" s="955"/>
      <c r="KET189" s="963"/>
      <c r="KEU189" s="2242"/>
      <c r="KEV189" s="1360"/>
      <c r="KEW189" s="1360"/>
      <c r="KEX189" s="1360"/>
      <c r="KEY189" s="1360"/>
      <c r="KEZ189" s="1362"/>
      <c r="KFA189" s="955"/>
      <c r="KFB189" s="963"/>
      <c r="KFC189" s="2242"/>
      <c r="KFD189" s="1360"/>
      <c r="KFE189" s="1360"/>
      <c r="KFF189" s="1360"/>
      <c r="KFG189" s="1360"/>
      <c r="KFH189" s="1362"/>
      <c r="KFI189" s="955"/>
      <c r="KFJ189" s="963"/>
      <c r="KFK189" s="2242"/>
      <c r="KFL189" s="1360"/>
      <c r="KFM189" s="1360"/>
      <c r="KFN189" s="1360"/>
      <c r="KFO189" s="1360"/>
      <c r="KFP189" s="1362"/>
      <c r="KFQ189" s="955"/>
      <c r="KFR189" s="963"/>
      <c r="KFS189" s="2242"/>
      <c r="KFT189" s="1360"/>
      <c r="KFU189" s="1360"/>
      <c r="KFV189" s="1360"/>
      <c r="KFW189" s="1360"/>
      <c r="KFX189" s="1362"/>
      <c r="KFY189" s="955"/>
      <c r="KFZ189" s="963"/>
      <c r="KGA189" s="2242"/>
      <c r="KGB189" s="1360"/>
      <c r="KGC189" s="1360"/>
      <c r="KGD189" s="1360"/>
      <c r="KGE189" s="1360"/>
      <c r="KGF189" s="1362"/>
      <c r="KGG189" s="955"/>
      <c r="KGH189" s="963"/>
      <c r="KGI189" s="2242"/>
      <c r="KGJ189" s="1360"/>
      <c r="KGK189" s="1360"/>
      <c r="KGL189" s="1360"/>
      <c r="KGM189" s="1360"/>
      <c r="KGN189" s="1362"/>
      <c r="KGO189" s="955"/>
      <c r="KGP189" s="963"/>
      <c r="KGQ189" s="2242"/>
      <c r="KGR189" s="1360"/>
      <c r="KGS189" s="1360"/>
      <c r="KGT189" s="1360"/>
      <c r="KGU189" s="1360"/>
      <c r="KGV189" s="1362"/>
      <c r="KGW189" s="955"/>
      <c r="KGX189" s="963"/>
      <c r="KGY189" s="2242"/>
      <c r="KGZ189" s="1360"/>
      <c r="KHA189" s="1360"/>
      <c r="KHB189" s="1360"/>
      <c r="KHC189" s="1360"/>
      <c r="KHD189" s="1362"/>
      <c r="KHE189" s="955"/>
      <c r="KHF189" s="963"/>
      <c r="KHG189" s="2242"/>
      <c r="KHH189" s="1360"/>
      <c r="KHI189" s="1360"/>
      <c r="KHJ189" s="1360"/>
      <c r="KHK189" s="1360"/>
      <c r="KHL189" s="1362"/>
      <c r="KHM189" s="955"/>
      <c r="KHN189" s="963"/>
      <c r="KHO189" s="2242"/>
      <c r="KHP189" s="1360"/>
      <c r="KHQ189" s="1360"/>
      <c r="KHR189" s="1360"/>
      <c r="KHS189" s="1360"/>
      <c r="KHT189" s="1362"/>
      <c r="KHU189" s="955"/>
      <c r="KHV189" s="963"/>
      <c r="KHW189" s="2242"/>
      <c r="KHX189" s="1360"/>
      <c r="KHY189" s="1360"/>
      <c r="KHZ189" s="1360"/>
      <c r="KIA189" s="1360"/>
      <c r="KIB189" s="1362"/>
      <c r="KIC189" s="955"/>
      <c r="KID189" s="963"/>
      <c r="KIE189" s="2242"/>
      <c r="KIF189" s="1360"/>
      <c r="KIG189" s="1360"/>
      <c r="KIH189" s="1360"/>
      <c r="KII189" s="1360"/>
      <c r="KIJ189" s="1362"/>
      <c r="KIK189" s="955"/>
      <c r="KIL189" s="963"/>
      <c r="KIM189" s="2242"/>
      <c r="KIN189" s="1360"/>
      <c r="KIO189" s="1360"/>
      <c r="KIP189" s="1360"/>
      <c r="KIQ189" s="1360"/>
      <c r="KIR189" s="1362"/>
      <c r="KIS189" s="955"/>
      <c r="KIT189" s="963"/>
      <c r="KIU189" s="2242"/>
      <c r="KIV189" s="1360"/>
      <c r="KIW189" s="1360"/>
      <c r="KIX189" s="1360"/>
      <c r="KIY189" s="1360"/>
      <c r="KIZ189" s="1362"/>
      <c r="KJA189" s="955"/>
      <c r="KJB189" s="963"/>
      <c r="KJC189" s="2242"/>
      <c r="KJD189" s="1360"/>
      <c r="KJE189" s="1360"/>
      <c r="KJF189" s="1360"/>
      <c r="KJG189" s="1360"/>
      <c r="KJH189" s="1362"/>
      <c r="KJI189" s="955"/>
      <c r="KJJ189" s="963"/>
      <c r="KJK189" s="2242"/>
      <c r="KJL189" s="1360"/>
      <c r="KJM189" s="1360"/>
      <c r="KJN189" s="1360"/>
      <c r="KJO189" s="1360"/>
      <c r="KJP189" s="1362"/>
      <c r="KJQ189" s="955"/>
      <c r="KJR189" s="963"/>
      <c r="KJS189" s="2242"/>
      <c r="KJT189" s="1360"/>
      <c r="KJU189" s="1360"/>
      <c r="KJV189" s="1360"/>
      <c r="KJW189" s="1360"/>
      <c r="KJX189" s="1362"/>
      <c r="KJY189" s="955"/>
      <c r="KJZ189" s="963"/>
      <c r="KKA189" s="2242"/>
      <c r="KKB189" s="1360"/>
      <c r="KKC189" s="1360"/>
      <c r="KKD189" s="1360"/>
      <c r="KKE189" s="1360"/>
      <c r="KKF189" s="1362"/>
      <c r="KKG189" s="955"/>
      <c r="KKH189" s="963"/>
      <c r="KKI189" s="2242"/>
      <c r="KKJ189" s="1360"/>
      <c r="KKK189" s="1360"/>
      <c r="KKL189" s="1360"/>
      <c r="KKM189" s="1360"/>
      <c r="KKN189" s="1362"/>
      <c r="KKO189" s="955"/>
      <c r="KKP189" s="963"/>
      <c r="KKQ189" s="2242"/>
      <c r="KKR189" s="1360"/>
      <c r="KKS189" s="1360"/>
      <c r="KKT189" s="1360"/>
      <c r="KKU189" s="1360"/>
      <c r="KKV189" s="1362"/>
      <c r="KKW189" s="955"/>
      <c r="KKX189" s="963"/>
      <c r="KKY189" s="2242"/>
      <c r="KKZ189" s="1360"/>
      <c r="KLA189" s="1360"/>
      <c r="KLB189" s="1360"/>
      <c r="KLC189" s="1360"/>
      <c r="KLD189" s="1362"/>
      <c r="KLE189" s="955"/>
      <c r="KLF189" s="963"/>
      <c r="KLG189" s="2242"/>
      <c r="KLH189" s="1360"/>
      <c r="KLI189" s="1360"/>
      <c r="KLJ189" s="1360"/>
      <c r="KLK189" s="1360"/>
      <c r="KLL189" s="1362"/>
      <c r="KLM189" s="955"/>
      <c r="KLN189" s="963"/>
      <c r="KLO189" s="2242"/>
      <c r="KLP189" s="1360"/>
      <c r="KLQ189" s="1360"/>
      <c r="KLR189" s="1360"/>
      <c r="KLS189" s="1360"/>
      <c r="KLT189" s="1362"/>
      <c r="KLU189" s="955"/>
      <c r="KLV189" s="963"/>
      <c r="KLW189" s="2242"/>
      <c r="KLX189" s="1360"/>
      <c r="KLY189" s="1360"/>
      <c r="KLZ189" s="1360"/>
      <c r="KMA189" s="1360"/>
      <c r="KMB189" s="1362"/>
      <c r="KMC189" s="955"/>
      <c r="KMD189" s="963"/>
      <c r="KME189" s="2242"/>
      <c r="KMF189" s="1360"/>
      <c r="KMG189" s="1360"/>
      <c r="KMH189" s="1360"/>
      <c r="KMI189" s="1360"/>
      <c r="KMJ189" s="1362"/>
      <c r="KMK189" s="955"/>
      <c r="KML189" s="963"/>
      <c r="KMM189" s="2242"/>
      <c r="KMN189" s="1360"/>
      <c r="KMO189" s="1360"/>
      <c r="KMP189" s="1360"/>
      <c r="KMQ189" s="1360"/>
      <c r="KMR189" s="1362"/>
      <c r="KMS189" s="955"/>
      <c r="KMT189" s="963"/>
      <c r="KMU189" s="2242"/>
      <c r="KMV189" s="1360"/>
      <c r="KMW189" s="1360"/>
      <c r="KMX189" s="1360"/>
      <c r="KMY189" s="1360"/>
      <c r="KMZ189" s="1362"/>
      <c r="KNA189" s="955"/>
      <c r="KNB189" s="963"/>
      <c r="KNC189" s="2242"/>
      <c r="KND189" s="1360"/>
      <c r="KNE189" s="1360"/>
      <c r="KNF189" s="1360"/>
      <c r="KNG189" s="1360"/>
      <c r="KNH189" s="1362"/>
      <c r="KNI189" s="955"/>
      <c r="KNJ189" s="963"/>
      <c r="KNK189" s="2242"/>
      <c r="KNL189" s="1360"/>
      <c r="KNM189" s="1360"/>
      <c r="KNN189" s="1360"/>
      <c r="KNO189" s="1360"/>
      <c r="KNP189" s="1362"/>
      <c r="KNQ189" s="955"/>
      <c r="KNR189" s="963"/>
      <c r="KNS189" s="2242"/>
      <c r="KNT189" s="1360"/>
      <c r="KNU189" s="1360"/>
      <c r="KNV189" s="1360"/>
      <c r="KNW189" s="1360"/>
      <c r="KNX189" s="1362"/>
      <c r="KNY189" s="955"/>
      <c r="KNZ189" s="963"/>
      <c r="KOA189" s="2242"/>
      <c r="KOB189" s="1360"/>
      <c r="KOC189" s="1360"/>
      <c r="KOD189" s="1360"/>
      <c r="KOE189" s="1360"/>
      <c r="KOF189" s="1362"/>
      <c r="KOG189" s="955"/>
      <c r="KOH189" s="963"/>
      <c r="KOI189" s="2242"/>
      <c r="KOJ189" s="1360"/>
      <c r="KOK189" s="1360"/>
      <c r="KOL189" s="1360"/>
      <c r="KOM189" s="1360"/>
      <c r="KON189" s="1362"/>
      <c r="KOO189" s="955"/>
      <c r="KOP189" s="963"/>
      <c r="KOQ189" s="2242"/>
      <c r="KOR189" s="1360"/>
      <c r="KOS189" s="1360"/>
      <c r="KOT189" s="1360"/>
      <c r="KOU189" s="1360"/>
      <c r="KOV189" s="1362"/>
      <c r="KOW189" s="955"/>
      <c r="KOX189" s="963"/>
      <c r="KOY189" s="2242"/>
      <c r="KOZ189" s="1360"/>
      <c r="KPA189" s="1360"/>
      <c r="KPB189" s="1360"/>
      <c r="KPC189" s="1360"/>
      <c r="KPD189" s="1362"/>
      <c r="KPE189" s="955"/>
      <c r="KPF189" s="963"/>
      <c r="KPG189" s="2242"/>
      <c r="KPH189" s="1360"/>
      <c r="KPI189" s="1360"/>
      <c r="KPJ189" s="1360"/>
      <c r="KPK189" s="1360"/>
      <c r="KPL189" s="1362"/>
      <c r="KPM189" s="955"/>
      <c r="KPN189" s="963"/>
      <c r="KPO189" s="2242"/>
      <c r="KPP189" s="1360"/>
      <c r="KPQ189" s="1360"/>
      <c r="KPR189" s="1360"/>
      <c r="KPS189" s="1360"/>
      <c r="KPT189" s="1362"/>
      <c r="KPU189" s="955"/>
      <c r="KPV189" s="963"/>
      <c r="KPW189" s="2242"/>
      <c r="KPX189" s="1360"/>
      <c r="KPY189" s="1360"/>
      <c r="KPZ189" s="1360"/>
      <c r="KQA189" s="1360"/>
      <c r="KQB189" s="1362"/>
      <c r="KQC189" s="955"/>
      <c r="KQD189" s="963"/>
      <c r="KQE189" s="2242"/>
      <c r="KQF189" s="1360"/>
      <c r="KQG189" s="1360"/>
      <c r="KQH189" s="1360"/>
      <c r="KQI189" s="1360"/>
      <c r="KQJ189" s="1362"/>
      <c r="KQK189" s="955"/>
      <c r="KQL189" s="963"/>
      <c r="KQM189" s="2242"/>
      <c r="KQN189" s="1360"/>
      <c r="KQO189" s="1360"/>
      <c r="KQP189" s="1360"/>
      <c r="KQQ189" s="1360"/>
      <c r="KQR189" s="1362"/>
      <c r="KQS189" s="955"/>
      <c r="KQT189" s="963"/>
      <c r="KQU189" s="2242"/>
      <c r="KQV189" s="1360"/>
      <c r="KQW189" s="1360"/>
      <c r="KQX189" s="1360"/>
      <c r="KQY189" s="1360"/>
      <c r="KQZ189" s="1362"/>
      <c r="KRA189" s="955"/>
      <c r="KRB189" s="963"/>
      <c r="KRC189" s="2242"/>
      <c r="KRD189" s="1360"/>
      <c r="KRE189" s="1360"/>
      <c r="KRF189" s="1360"/>
      <c r="KRG189" s="1360"/>
      <c r="KRH189" s="1362"/>
      <c r="KRI189" s="955"/>
      <c r="KRJ189" s="963"/>
      <c r="KRK189" s="2242"/>
      <c r="KRL189" s="1360"/>
      <c r="KRM189" s="1360"/>
      <c r="KRN189" s="1360"/>
      <c r="KRO189" s="1360"/>
      <c r="KRP189" s="1362"/>
      <c r="KRQ189" s="955"/>
      <c r="KRR189" s="963"/>
      <c r="KRS189" s="2242"/>
      <c r="KRT189" s="1360"/>
      <c r="KRU189" s="1360"/>
      <c r="KRV189" s="1360"/>
      <c r="KRW189" s="1360"/>
      <c r="KRX189" s="1362"/>
      <c r="KRY189" s="955"/>
      <c r="KRZ189" s="963"/>
      <c r="KSA189" s="2242"/>
      <c r="KSB189" s="1360"/>
      <c r="KSC189" s="1360"/>
      <c r="KSD189" s="1360"/>
      <c r="KSE189" s="1360"/>
      <c r="KSF189" s="1362"/>
      <c r="KSG189" s="955"/>
      <c r="KSH189" s="963"/>
      <c r="KSI189" s="2242"/>
      <c r="KSJ189" s="1360"/>
      <c r="KSK189" s="1360"/>
      <c r="KSL189" s="1360"/>
      <c r="KSM189" s="1360"/>
      <c r="KSN189" s="1362"/>
      <c r="KSO189" s="955"/>
      <c r="KSP189" s="963"/>
      <c r="KSQ189" s="2242"/>
      <c r="KSR189" s="1360"/>
      <c r="KSS189" s="1360"/>
      <c r="KST189" s="1360"/>
      <c r="KSU189" s="1360"/>
      <c r="KSV189" s="1362"/>
      <c r="KSW189" s="955"/>
      <c r="KSX189" s="963"/>
      <c r="KSY189" s="2242"/>
      <c r="KSZ189" s="1360"/>
      <c r="KTA189" s="1360"/>
      <c r="KTB189" s="1360"/>
      <c r="KTC189" s="1360"/>
      <c r="KTD189" s="1362"/>
      <c r="KTE189" s="955"/>
      <c r="KTF189" s="963"/>
      <c r="KTG189" s="2242"/>
      <c r="KTH189" s="1360"/>
      <c r="KTI189" s="1360"/>
      <c r="KTJ189" s="1360"/>
      <c r="KTK189" s="1360"/>
      <c r="KTL189" s="1362"/>
      <c r="KTM189" s="955"/>
      <c r="KTN189" s="963"/>
      <c r="KTO189" s="2242"/>
      <c r="KTP189" s="1360"/>
      <c r="KTQ189" s="1360"/>
      <c r="KTR189" s="1360"/>
      <c r="KTS189" s="1360"/>
      <c r="KTT189" s="1362"/>
      <c r="KTU189" s="955"/>
      <c r="KTV189" s="963"/>
      <c r="KTW189" s="2242"/>
      <c r="KTX189" s="1360"/>
      <c r="KTY189" s="1360"/>
      <c r="KTZ189" s="1360"/>
      <c r="KUA189" s="1360"/>
      <c r="KUB189" s="1362"/>
      <c r="KUC189" s="955"/>
      <c r="KUD189" s="963"/>
      <c r="KUE189" s="2242"/>
      <c r="KUF189" s="1360"/>
      <c r="KUG189" s="1360"/>
      <c r="KUH189" s="1360"/>
      <c r="KUI189" s="1360"/>
      <c r="KUJ189" s="1362"/>
      <c r="KUK189" s="955"/>
      <c r="KUL189" s="963"/>
      <c r="KUM189" s="2242"/>
      <c r="KUN189" s="1360"/>
      <c r="KUO189" s="1360"/>
      <c r="KUP189" s="1360"/>
      <c r="KUQ189" s="1360"/>
      <c r="KUR189" s="1362"/>
      <c r="KUS189" s="955"/>
      <c r="KUT189" s="963"/>
      <c r="KUU189" s="2242"/>
      <c r="KUV189" s="1360"/>
      <c r="KUW189" s="1360"/>
      <c r="KUX189" s="1360"/>
      <c r="KUY189" s="1360"/>
      <c r="KUZ189" s="1362"/>
      <c r="KVA189" s="955"/>
      <c r="KVB189" s="963"/>
      <c r="KVC189" s="2242"/>
      <c r="KVD189" s="1360"/>
      <c r="KVE189" s="1360"/>
      <c r="KVF189" s="1360"/>
      <c r="KVG189" s="1360"/>
      <c r="KVH189" s="1362"/>
      <c r="KVI189" s="955"/>
      <c r="KVJ189" s="963"/>
      <c r="KVK189" s="2242"/>
      <c r="KVL189" s="1360"/>
      <c r="KVM189" s="1360"/>
      <c r="KVN189" s="1360"/>
      <c r="KVO189" s="1360"/>
      <c r="KVP189" s="1362"/>
      <c r="KVQ189" s="955"/>
      <c r="KVR189" s="963"/>
      <c r="KVS189" s="2242"/>
      <c r="KVT189" s="1360"/>
      <c r="KVU189" s="1360"/>
      <c r="KVV189" s="1360"/>
      <c r="KVW189" s="1360"/>
      <c r="KVX189" s="1362"/>
      <c r="KVY189" s="955"/>
      <c r="KVZ189" s="963"/>
      <c r="KWA189" s="2242"/>
      <c r="KWB189" s="1360"/>
      <c r="KWC189" s="1360"/>
      <c r="KWD189" s="1360"/>
      <c r="KWE189" s="1360"/>
      <c r="KWF189" s="1362"/>
      <c r="KWG189" s="955"/>
      <c r="KWH189" s="963"/>
      <c r="KWI189" s="2242"/>
      <c r="KWJ189" s="1360"/>
      <c r="KWK189" s="1360"/>
      <c r="KWL189" s="1360"/>
      <c r="KWM189" s="1360"/>
      <c r="KWN189" s="1362"/>
      <c r="KWO189" s="955"/>
      <c r="KWP189" s="963"/>
      <c r="KWQ189" s="2242"/>
      <c r="KWR189" s="1360"/>
      <c r="KWS189" s="1360"/>
      <c r="KWT189" s="1360"/>
      <c r="KWU189" s="1360"/>
      <c r="KWV189" s="1362"/>
      <c r="KWW189" s="955"/>
      <c r="KWX189" s="963"/>
      <c r="KWY189" s="2242"/>
      <c r="KWZ189" s="1360"/>
      <c r="KXA189" s="1360"/>
      <c r="KXB189" s="1360"/>
      <c r="KXC189" s="1360"/>
      <c r="KXD189" s="1362"/>
      <c r="KXE189" s="955"/>
      <c r="KXF189" s="963"/>
      <c r="KXG189" s="2242"/>
      <c r="KXH189" s="1360"/>
      <c r="KXI189" s="1360"/>
      <c r="KXJ189" s="1360"/>
      <c r="KXK189" s="1360"/>
      <c r="KXL189" s="1362"/>
      <c r="KXM189" s="955"/>
      <c r="KXN189" s="963"/>
      <c r="KXO189" s="2242"/>
      <c r="KXP189" s="1360"/>
      <c r="KXQ189" s="1360"/>
      <c r="KXR189" s="1360"/>
      <c r="KXS189" s="1360"/>
      <c r="KXT189" s="1362"/>
      <c r="KXU189" s="955"/>
      <c r="KXV189" s="963"/>
      <c r="KXW189" s="2242"/>
      <c r="KXX189" s="1360"/>
      <c r="KXY189" s="1360"/>
      <c r="KXZ189" s="1360"/>
      <c r="KYA189" s="1360"/>
      <c r="KYB189" s="1362"/>
      <c r="KYC189" s="955"/>
      <c r="KYD189" s="963"/>
      <c r="KYE189" s="2242"/>
      <c r="KYF189" s="1360"/>
      <c r="KYG189" s="1360"/>
      <c r="KYH189" s="1360"/>
      <c r="KYI189" s="1360"/>
      <c r="KYJ189" s="1362"/>
      <c r="KYK189" s="955"/>
      <c r="KYL189" s="963"/>
      <c r="KYM189" s="2242"/>
      <c r="KYN189" s="1360"/>
      <c r="KYO189" s="1360"/>
      <c r="KYP189" s="1360"/>
      <c r="KYQ189" s="1360"/>
      <c r="KYR189" s="1362"/>
      <c r="KYS189" s="955"/>
      <c r="KYT189" s="963"/>
      <c r="KYU189" s="2242"/>
      <c r="KYV189" s="1360"/>
      <c r="KYW189" s="1360"/>
      <c r="KYX189" s="1360"/>
      <c r="KYY189" s="1360"/>
      <c r="KYZ189" s="1362"/>
      <c r="KZA189" s="955"/>
      <c r="KZB189" s="963"/>
      <c r="KZC189" s="2242"/>
      <c r="KZD189" s="1360"/>
      <c r="KZE189" s="1360"/>
      <c r="KZF189" s="1360"/>
      <c r="KZG189" s="1360"/>
      <c r="KZH189" s="1362"/>
      <c r="KZI189" s="955"/>
      <c r="KZJ189" s="963"/>
      <c r="KZK189" s="2242"/>
      <c r="KZL189" s="1360"/>
      <c r="KZM189" s="1360"/>
      <c r="KZN189" s="1360"/>
      <c r="KZO189" s="1360"/>
      <c r="KZP189" s="1362"/>
      <c r="KZQ189" s="955"/>
      <c r="KZR189" s="963"/>
      <c r="KZS189" s="2242"/>
      <c r="KZT189" s="1360"/>
      <c r="KZU189" s="1360"/>
      <c r="KZV189" s="1360"/>
      <c r="KZW189" s="1360"/>
      <c r="KZX189" s="1362"/>
      <c r="KZY189" s="955"/>
      <c r="KZZ189" s="963"/>
      <c r="LAA189" s="2242"/>
      <c r="LAB189" s="1360"/>
      <c r="LAC189" s="1360"/>
      <c r="LAD189" s="1360"/>
      <c r="LAE189" s="1360"/>
      <c r="LAF189" s="1362"/>
      <c r="LAG189" s="955"/>
      <c r="LAH189" s="963"/>
      <c r="LAI189" s="2242"/>
      <c r="LAJ189" s="1360"/>
      <c r="LAK189" s="1360"/>
      <c r="LAL189" s="1360"/>
      <c r="LAM189" s="1360"/>
      <c r="LAN189" s="1362"/>
      <c r="LAO189" s="955"/>
      <c r="LAP189" s="963"/>
      <c r="LAQ189" s="2242"/>
      <c r="LAR189" s="1360"/>
      <c r="LAS189" s="1360"/>
      <c r="LAT189" s="1360"/>
      <c r="LAU189" s="1360"/>
      <c r="LAV189" s="1362"/>
      <c r="LAW189" s="955"/>
      <c r="LAX189" s="963"/>
      <c r="LAY189" s="2242"/>
      <c r="LAZ189" s="1360"/>
      <c r="LBA189" s="1360"/>
      <c r="LBB189" s="1360"/>
      <c r="LBC189" s="1360"/>
      <c r="LBD189" s="1362"/>
      <c r="LBE189" s="955"/>
      <c r="LBF189" s="963"/>
      <c r="LBG189" s="2242"/>
      <c r="LBH189" s="1360"/>
      <c r="LBI189" s="1360"/>
      <c r="LBJ189" s="1360"/>
      <c r="LBK189" s="1360"/>
      <c r="LBL189" s="1362"/>
      <c r="LBM189" s="955"/>
      <c r="LBN189" s="963"/>
      <c r="LBO189" s="2242"/>
      <c r="LBP189" s="1360"/>
      <c r="LBQ189" s="1360"/>
      <c r="LBR189" s="1360"/>
      <c r="LBS189" s="1360"/>
      <c r="LBT189" s="1362"/>
      <c r="LBU189" s="955"/>
      <c r="LBV189" s="963"/>
      <c r="LBW189" s="2242"/>
      <c r="LBX189" s="1360"/>
      <c r="LBY189" s="1360"/>
      <c r="LBZ189" s="1360"/>
      <c r="LCA189" s="1360"/>
      <c r="LCB189" s="1362"/>
      <c r="LCC189" s="955"/>
      <c r="LCD189" s="963"/>
      <c r="LCE189" s="2242"/>
      <c r="LCF189" s="1360"/>
      <c r="LCG189" s="1360"/>
      <c r="LCH189" s="1360"/>
      <c r="LCI189" s="1360"/>
      <c r="LCJ189" s="1362"/>
      <c r="LCK189" s="955"/>
      <c r="LCL189" s="963"/>
      <c r="LCM189" s="2242"/>
      <c r="LCN189" s="1360"/>
      <c r="LCO189" s="1360"/>
      <c r="LCP189" s="1360"/>
      <c r="LCQ189" s="1360"/>
      <c r="LCR189" s="1362"/>
      <c r="LCS189" s="955"/>
      <c r="LCT189" s="963"/>
      <c r="LCU189" s="2242"/>
      <c r="LCV189" s="1360"/>
      <c r="LCW189" s="1360"/>
      <c r="LCX189" s="1360"/>
      <c r="LCY189" s="1360"/>
      <c r="LCZ189" s="1362"/>
      <c r="LDA189" s="955"/>
      <c r="LDB189" s="963"/>
      <c r="LDC189" s="2242"/>
      <c r="LDD189" s="1360"/>
      <c r="LDE189" s="1360"/>
      <c r="LDF189" s="1360"/>
      <c r="LDG189" s="1360"/>
      <c r="LDH189" s="1362"/>
      <c r="LDI189" s="955"/>
      <c r="LDJ189" s="963"/>
      <c r="LDK189" s="2242"/>
      <c r="LDL189" s="1360"/>
      <c r="LDM189" s="1360"/>
      <c r="LDN189" s="1360"/>
      <c r="LDO189" s="1360"/>
      <c r="LDP189" s="1362"/>
      <c r="LDQ189" s="955"/>
      <c r="LDR189" s="963"/>
      <c r="LDS189" s="2242"/>
      <c r="LDT189" s="1360"/>
      <c r="LDU189" s="1360"/>
      <c r="LDV189" s="1360"/>
      <c r="LDW189" s="1360"/>
      <c r="LDX189" s="1362"/>
      <c r="LDY189" s="955"/>
      <c r="LDZ189" s="963"/>
      <c r="LEA189" s="2242"/>
      <c r="LEB189" s="1360"/>
      <c r="LEC189" s="1360"/>
      <c r="LED189" s="1360"/>
      <c r="LEE189" s="1360"/>
      <c r="LEF189" s="1362"/>
      <c r="LEG189" s="955"/>
      <c r="LEH189" s="963"/>
      <c r="LEI189" s="2242"/>
      <c r="LEJ189" s="1360"/>
      <c r="LEK189" s="1360"/>
      <c r="LEL189" s="1360"/>
      <c r="LEM189" s="1360"/>
      <c r="LEN189" s="1362"/>
      <c r="LEO189" s="955"/>
      <c r="LEP189" s="963"/>
      <c r="LEQ189" s="2242"/>
      <c r="LER189" s="1360"/>
      <c r="LES189" s="1360"/>
      <c r="LET189" s="1360"/>
      <c r="LEU189" s="1360"/>
      <c r="LEV189" s="1362"/>
      <c r="LEW189" s="955"/>
      <c r="LEX189" s="963"/>
      <c r="LEY189" s="2242"/>
      <c r="LEZ189" s="1360"/>
      <c r="LFA189" s="1360"/>
      <c r="LFB189" s="1360"/>
      <c r="LFC189" s="1360"/>
      <c r="LFD189" s="1362"/>
      <c r="LFE189" s="955"/>
      <c r="LFF189" s="963"/>
      <c r="LFG189" s="2242"/>
      <c r="LFH189" s="1360"/>
      <c r="LFI189" s="1360"/>
      <c r="LFJ189" s="1360"/>
      <c r="LFK189" s="1360"/>
      <c r="LFL189" s="1362"/>
      <c r="LFM189" s="955"/>
      <c r="LFN189" s="963"/>
      <c r="LFO189" s="2242"/>
      <c r="LFP189" s="1360"/>
      <c r="LFQ189" s="1360"/>
      <c r="LFR189" s="1360"/>
      <c r="LFS189" s="1360"/>
      <c r="LFT189" s="1362"/>
      <c r="LFU189" s="955"/>
      <c r="LFV189" s="963"/>
      <c r="LFW189" s="2242"/>
      <c r="LFX189" s="1360"/>
      <c r="LFY189" s="1360"/>
      <c r="LFZ189" s="1360"/>
      <c r="LGA189" s="1360"/>
      <c r="LGB189" s="1362"/>
      <c r="LGC189" s="955"/>
      <c r="LGD189" s="963"/>
      <c r="LGE189" s="2242"/>
      <c r="LGF189" s="1360"/>
      <c r="LGG189" s="1360"/>
      <c r="LGH189" s="1360"/>
      <c r="LGI189" s="1360"/>
      <c r="LGJ189" s="1362"/>
      <c r="LGK189" s="955"/>
      <c r="LGL189" s="963"/>
      <c r="LGM189" s="2242"/>
      <c r="LGN189" s="1360"/>
      <c r="LGO189" s="1360"/>
      <c r="LGP189" s="1360"/>
      <c r="LGQ189" s="1360"/>
      <c r="LGR189" s="1362"/>
      <c r="LGS189" s="955"/>
      <c r="LGT189" s="963"/>
      <c r="LGU189" s="2242"/>
      <c r="LGV189" s="1360"/>
      <c r="LGW189" s="1360"/>
      <c r="LGX189" s="1360"/>
      <c r="LGY189" s="1360"/>
      <c r="LGZ189" s="1362"/>
      <c r="LHA189" s="955"/>
      <c r="LHB189" s="963"/>
      <c r="LHC189" s="2242"/>
      <c r="LHD189" s="1360"/>
      <c r="LHE189" s="1360"/>
      <c r="LHF189" s="1360"/>
      <c r="LHG189" s="1360"/>
      <c r="LHH189" s="1362"/>
      <c r="LHI189" s="955"/>
      <c r="LHJ189" s="963"/>
      <c r="LHK189" s="2242"/>
      <c r="LHL189" s="1360"/>
      <c r="LHM189" s="1360"/>
      <c r="LHN189" s="1360"/>
      <c r="LHO189" s="1360"/>
      <c r="LHP189" s="1362"/>
      <c r="LHQ189" s="955"/>
      <c r="LHR189" s="963"/>
      <c r="LHS189" s="2242"/>
      <c r="LHT189" s="1360"/>
      <c r="LHU189" s="1360"/>
      <c r="LHV189" s="1360"/>
      <c r="LHW189" s="1360"/>
      <c r="LHX189" s="1362"/>
      <c r="LHY189" s="955"/>
      <c r="LHZ189" s="963"/>
      <c r="LIA189" s="2242"/>
      <c r="LIB189" s="1360"/>
      <c r="LIC189" s="1360"/>
      <c r="LID189" s="1360"/>
      <c r="LIE189" s="1360"/>
      <c r="LIF189" s="1362"/>
      <c r="LIG189" s="955"/>
      <c r="LIH189" s="963"/>
      <c r="LII189" s="2242"/>
      <c r="LIJ189" s="1360"/>
      <c r="LIK189" s="1360"/>
      <c r="LIL189" s="1360"/>
      <c r="LIM189" s="1360"/>
      <c r="LIN189" s="1362"/>
      <c r="LIO189" s="955"/>
      <c r="LIP189" s="963"/>
      <c r="LIQ189" s="2242"/>
      <c r="LIR189" s="1360"/>
      <c r="LIS189" s="1360"/>
      <c r="LIT189" s="1360"/>
      <c r="LIU189" s="1360"/>
      <c r="LIV189" s="1362"/>
      <c r="LIW189" s="955"/>
      <c r="LIX189" s="963"/>
      <c r="LIY189" s="2242"/>
      <c r="LIZ189" s="1360"/>
      <c r="LJA189" s="1360"/>
      <c r="LJB189" s="1360"/>
      <c r="LJC189" s="1360"/>
      <c r="LJD189" s="1362"/>
      <c r="LJE189" s="955"/>
      <c r="LJF189" s="963"/>
      <c r="LJG189" s="2242"/>
      <c r="LJH189" s="1360"/>
      <c r="LJI189" s="1360"/>
      <c r="LJJ189" s="1360"/>
      <c r="LJK189" s="1360"/>
      <c r="LJL189" s="1362"/>
      <c r="LJM189" s="955"/>
      <c r="LJN189" s="963"/>
      <c r="LJO189" s="2242"/>
      <c r="LJP189" s="1360"/>
      <c r="LJQ189" s="1360"/>
      <c r="LJR189" s="1360"/>
      <c r="LJS189" s="1360"/>
      <c r="LJT189" s="1362"/>
      <c r="LJU189" s="955"/>
      <c r="LJV189" s="963"/>
      <c r="LJW189" s="2242"/>
      <c r="LJX189" s="1360"/>
      <c r="LJY189" s="1360"/>
      <c r="LJZ189" s="1360"/>
      <c r="LKA189" s="1360"/>
      <c r="LKB189" s="1362"/>
      <c r="LKC189" s="955"/>
      <c r="LKD189" s="963"/>
      <c r="LKE189" s="2242"/>
      <c r="LKF189" s="1360"/>
      <c r="LKG189" s="1360"/>
      <c r="LKH189" s="1360"/>
      <c r="LKI189" s="1360"/>
      <c r="LKJ189" s="1362"/>
      <c r="LKK189" s="955"/>
      <c r="LKL189" s="963"/>
      <c r="LKM189" s="2242"/>
      <c r="LKN189" s="1360"/>
      <c r="LKO189" s="1360"/>
      <c r="LKP189" s="1360"/>
      <c r="LKQ189" s="1360"/>
      <c r="LKR189" s="1362"/>
      <c r="LKS189" s="955"/>
      <c r="LKT189" s="963"/>
      <c r="LKU189" s="2242"/>
      <c r="LKV189" s="1360"/>
      <c r="LKW189" s="1360"/>
      <c r="LKX189" s="1360"/>
      <c r="LKY189" s="1360"/>
      <c r="LKZ189" s="1362"/>
      <c r="LLA189" s="955"/>
      <c r="LLB189" s="963"/>
      <c r="LLC189" s="2242"/>
      <c r="LLD189" s="1360"/>
      <c r="LLE189" s="1360"/>
      <c r="LLF189" s="1360"/>
      <c r="LLG189" s="1360"/>
      <c r="LLH189" s="1362"/>
      <c r="LLI189" s="955"/>
      <c r="LLJ189" s="963"/>
      <c r="LLK189" s="2242"/>
      <c r="LLL189" s="1360"/>
      <c r="LLM189" s="1360"/>
      <c r="LLN189" s="1360"/>
      <c r="LLO189" s="1360"/>
      <c r="LLP189" s="1362"/>
      <c r="LLQ189" s="955"/>
      <c r="LLR189" s="963"/>
      <c r="LLS189" s="2242"/>
      <c r="LLT189" s="1360"/>
      <c r="LLU189" s="1360"/>
      <c r="LLV189" s="1360"/>
      <c r="LLW189" s="1360"/>
      <c r="LLX189" s="1362"/>
      <c r="LLY189" s="955"/>
      <c r="LLZ189" s="963"/>
      <c r="LMA189" s="2242"/>
      <c r="LMB189" s="1360"/>
      <c r="LMC189" s="1360"/>
      <c r="LMD189" s="1360"/>
      <c r="LME189" s="1360"/>
      <c r="LMF189" s="1362"/>
      <c r="LMG189" s="955"/>
      <c r="LMH189" s="963"/>
      <c r="LMI189" s="2242"/>
      <c r="LMJ189" s="1360"/>
      <c r="LMK189" s="1360"/>
      <c r="LML189" s="1360"/>
      <c r="LMM189" s="1360"/>
      <c r="LMN189" s="1362"/>
      <c r="LMO189" s="955"/>
      <c r="LMP189" s="963"/>
      <c r="LMQ189" s="2242"/>
      <c r="LMR189" s="1360"/>
      <c r="LMS189" s="1360"/>
      <c r="LMT189" s="1360"/>
      <c r="LMU189" s="1360"/>
      <c r="LMV189" s="1362"/>
      <c r="LMW189" s="955"/>
      <c r="LMX189" s="963"/>
      <c r="LMY189" s="2242"/>
      <c r="LMZ189" s="1360"/>
      <c r="LNA189" s="1360"/>
      <c r="LNB189" s="1360"/>
      <c r="LNC189" s="1360"/>
      <c r="LND189" s="1362"/>
      <c r="LNE189" s="955"/>
      <c r="LNF189" s="963"/>
      <c r="LNG189" s="2242"/>
      <c r="LNH189" s="1360"/>
      <c r="LNI189" s="1360"/>
      <c r="LNJ189" s="1360"/>
      <c r="LNK189" s="1360"/>
      <c r="LNL189" s="1362"/>
      <c r="LNM189" s="955"/>
      <c r="LNN189" s="963"/>
      <c r="LNO189" s="2242"/>
      <c r="LNP189" s="1360"/>
      <c r="LNQ189" s="1360"/>
      <c r="LNR189" s="1360"/>
      <c r="LNS189" s="1360"/>
      <c r="LNT189" s="1362"/>
      <c r="LNU189" s="955"/>
      <c r="LNV189" s="963"/>
      <c r="LNW189" s="2242"/>
      <c r="LNX189" s="1360"/>
      <c r="LNY189" s="1360"/>
      <c r="LNZ189" s="1360"/>
      <c r="LOA189" s="1360"/>
      <c r="LOB189" s="1362"/>
      <c r="LOC189" s="955"/>
      <c r="LOD189" s="963"/>
      <c r="LOE189" s="2242"/>
      <c r="LOF189" s="1360"/>
      <c r="LOG189" s="1360"/>
      <c r="LOH189" s="1360"/>
      <c r="LOI189" s="1360"/>
      <c r="LOJ189" s="1362"/>
      <c r="LOK189" s="955"/>
      <c r="LOL189" s="963"/>
      <c r="LOM189" s="2242"/>
      <c r="LON189" s="1360"/>
      <c r="LOO189" s="1360"/>
      <c r="LOP189" s="1360"/>
      <c r="LOQ189" s="1360"/>
      <c r="LOR189" s="1362"/>
      <c r="LOS189" s="955"/>
      <c r="LOT189" s="963"/>
      <c r="LOU189" s="2242"/>
      <c r="LOV189" s="1360"/>
      <c r="LOW189" s="1360"/>
      <c r="LOX189" s="1360"/>
      <c r="LOY189" s="1360"/>
      <c r="LOZ189" s="1362"/>
      <c r="LPA189" s="955"/>
      <c r="LPB189" s="963"/>
      <c r="LPC189" s="2242"/>
      <c r="LPD189" s="1360"/>
      <c r="LPE189" s="1360"/>
      <c r="LPF189" s="1360"/>
      <c r="LPG189" s="1360"/>
      <c r="LPH189" s="1362"/>
      <c r="LPI189" s="955"/>
      <c r="LPJ189" s="963"/>
      <c r="LPK189" s="2242"/>
      <c r="LPL189" s="1360"/>
      <c r="LPM189" s="1360"/>
      <c r="LPN189" s="1360"/>
      <c r="LPO189" s="1360"/>
      <c r="LPP189" s="1362"/>
      <c r="LPQ189" s="955"/>
      <c r="LPR189" s="963"/>
      <c r="LPS189" s="2242"/>
      <c r="LPT189" s="1360"/>
      <c r="LPU189" s="1360"/>
      <c r="LPV189" s="1360"/>
      <c r="LPW189" s="1360"/>
      <c r="LPX189" s="1362"/>
      <c r="LPY189" s="955"/>
      <c r="LPZ189" s="963"/>
      <c r="LQA189" s="2242"/>
      <c r="LQB189" s="1360"/>
      <c r="LQC189" s="1360"/>
      <c r="LQD189" s="1360"/>
      <c r="LQE189" s="1360"/>
      <c r="LQF189" s="1362"/>
      <c r="LQG189" s="955"/>
      <c r="LQH189" s="963"/>
      <c r="LQI189" s="2242"/>
      <c r="LQJ189" s="1360"/>
      <c r="LQK189" s="1360"/>
      <c r="LQL189" s="1360"/>
      <c r="LQM189" s="1360"/>
      <c r="LQN189" s="1362"/>
      <c r="LQO189" s="955"/>
      <c r="LQP189" s="963"/>
      <c r="LQQ189" s="2242"/>
      <c r="LQR189" s="1360"/>
      <c r="LQS189" s="1360"/>
      <c r="LQT189" s="1360"/>
      <c r="LQU189" s="1360"/>
      <c r="LQV189" s="1362"/>
      <c r="LQW189" s="955"/>
      <c r="LQX189" s="963"/>
      <c r="LQY189" s="2242"/>
      <c r="LQZ189" s="1360"/>
      <c r="LRA189" s="1360"/>
      <c r="LRB189" s="1360"/>
      <c r="LRC189" s="1360"/>
      <c r="LRD189" s="1362"/>
      <c r="LRE189" s="955"/>
      <c r="LRF189" s="963"/>
      <c r="LRG189" s="2242"/>
      <c r="LRH189" s="1360"/>
      <c r="LRI189" s="1360"/>
      <c r="LRJ189" s="1360"/>
      <c r="LRK189" s="1360"/>
      <c r="LRL189" s="1362"/>
      <c r="LRM189" s="955"/>
      <c r="LRN189" s="963"/>
      <c r="LRO189" s="2242"/>
      <c r="LRP189" s="1360"/>
      <c r="LRQ189" s="1360"/>
      <c r="LRR189" s="1360"/>
      <c r="LRS189" s="1360"/>
      <c r="LRT189" s="1362"/>
      <c r="LRU189" s="955"/>
      <c r="LRV189" s="963"/>
      <c r="LRW189" s="2242"/>
      <c r="LRX189" s="1360"/>
      <c r="LRY189" s="1360"/>
      <c r="LRZ189" s="1360"/>
      <c r="LSA189" s="1360"/>
      <c r="LSB189" s="1362"/>
      <c r="LSC189" s="955"/>
      <c r="LSD189" s="963"/>
      <c r="LSE189" s="2242"/>
      <c r="LSF189" s="1360"/>
      <c r="LSG189" s="1360"/>
      <c r="LSH189" s="1360"/>
      <c r="LSI189" s="1360"/>
      <c r="LSJ189" s="1362"/>
      <c r="LSK189" s="955"/>
      <c r="LSL189" s="963"/>
      <c r="LSM189" s="2242"/>
      <c r="LSN189" s="1360"/>
      <c r="LSO189" s="1360"/>
      <c r="LSP189" s="1360"/>
      <c r="LSQ189" s="1360"/>
      <c r="LSR189" s="1362"/>
      <c r="LSS189" s="955"/>
      <c r="LST189" s="963"/>
      <c r="LSU189" s="2242"/>
      <c r="LSV189" s="1360"/>
      <c r="LSW189" s="1360"/>
      <c r="LSX189" s="1360"/>
      <c r="LSY189" s="1360"/>
      <c r="LSZ189" s="1362"/>
      <c r="LTA189" s="955"/>
      <c r="LTB189" s="963"/>
      <c r="LTC189" s="2242"/>
      <c r="LTD189" s="1360"/>
      <c r="LTE189" s="1360"/>
      <c r="LTF189" s="1360"/>
      <c r="LTG189" s="1360"/>
      <c r="LTH189" s="1362"/>
      <c r="LTI189" s="955"/>
      <c r="LTJ189" s="963"/>
      <c r="LTK189" s="2242"/>
      <c r="LTL189" s="1360"/>
      <c r="LTM189" s="1360"/>
      <c r="LTN189" s="1360"/>
      <c r="LTO189" s="1360"/>
      <c r="LTP189" s="1362"/>
      <c r="LTQ189" s="955"/>
      <c r="LTR189" s="963"/>
      <c r="LTS189" s="2242"/>
      <c r="LTT189" s="1360"/>
      <c r="LTU189" s="1360"/>
      <c r="LTV189" s="1360"/>
      <c r="LTW189" s="1360"/>
      <c r="LTX189" s="1362"/>
      <c r="LTY189" s="955"/>
      <c r="LTZ189" s="963"/>
      <c r="LUA189" s="2242"/>
      <c r="LUB189" s="1360"/>
      <c r="LUC189" s="1360"/>
      <c r="LUD189" s="1360"/>
      <c r="LUE189" s="1360"/>
      <c r="LUF189" s="1362"/>
      <c r="LUG189" s="955"/>
      <c r="LUH189" s="963"/>
      <c r="LUI189" s="2242"/>
      <c r="LUJ189" s="1360"/>
      <c r="LUK189" s="1360"/>
      <c r="LUL189" s="1360"/>
      <c r="LUM189" s="1360"/>
      <c r="LUN189" s="1362"/>
      <c r="LUO189" s="955"/>
      <c r="LUP189" s="963"/>
      <c r="LUQ189" s="2242"/>
      <c r="LUR189" s="1360"/>
      <c r="LUS189" s="1360"/>
      <c r="LUT189" s="1360"/>
      <c r="LUU189" s="1360"/>
      <c r="LUV189" s="1362"/>
      <c r="LUW189" s="955"/>
      <c r="LUX189" s="963"/>
      <c r="LUY189" s="2242"/>
      <c r="LUZ189" s="1360"/>
      <c r="LVA189" s="1360"/>
      <c r="LVB189" s="1360"/>
      <c r="LVC189" s="1360"/>
      <c r="LVD189" s="1362"/>
      <c r="LVE189" s="955"/>
      <c r="LVF189" s="963"/>
      <c r="LVG189" s="2242"/>
      <c r="LVH189" s="1360"/>
      <c r="LVI189" s="1360"/>
      <c r="LVJ189" s="1360"/>
      <c r="LVK189" s="1360"/>
      <c r="LVL189" s="1362"/>
      <c r="LVM189" s="955"/>
      <c r="LVN189" s="963"/>
      <c r="LVO189" s="2242"/>
      <c r="LVP189" s="1360"/>
      <c r="LVQ189" s="1360"/>
      <c r="LVR189" s="1360"/>
      <c r="LVS189" s="1360"/>
      <c r="LVT189" s="1362"/>
      <c r="LVU189" s="955"/>
      <c r="LVV189" s="963"/>
      <c r="LVW189" s="2242"/>
      <c r="LVX189" s="1360"/>
      <c r="LVY189" s="1360"/>
      <c r="LVZ189" s="1360"/>
      <c r="LWA189" s="1360"/>
      <c r="LWB189" s="1362"/>
      <c r="LWC189" s="955"/>
      <c r="LWD189" s="963"/>
      <c r="LWE189" s="2242"/>
      <c r="LWF189" s="1360"/>
      <c r="LWG189" s="1360"/>
      <c r="LWH189" s="1360"/>
      <c r="LWI189" s="1360"/>
      <c r="LWJ189" s="1362"/>
      <c r="LWK189" s="955"/>
      <c r="LWL189" s="963"/>
      <c r="LWM189" s="2242"/>
      <c r="LWN189" s="1360"/>
      <c r="LWO189" s="1360"/>
      <c r="LWP189" s="1360"/>
      <c r="LWQ189" s="1360"/>
      <c r="LWR189" s="1362"/>
      <c r="LWS189" s="955"/>
      <c r="LWT189" s="963"/>
      <c r="LWU189" s="2242"/>
      <c r="LWV189" s="1360"/>
      <c r="LWW189" s="1360"/>
      <c r="LWX189" s="1360"/>
      <c r="LWY189" s="1360"/>
      <c r="LWZ189" s="1362"/>
      <c r="LXA189" s="955"/>
      <c r="LXB189" s="963"/>
      <c r="LXC189" s="2242"/>
      <c r="LXD189" s="1360"/>
      <c r="LXE189" s="1360"/>
      <c r="LXF189" s="1360"/>
      <c r="LXG189" s="1360"/>
      <c r="LXH189" s="1362"/>
      <c r="LXI189" s="955"/>
      <c r="LXJ189" s="963"/>
      <c r="LXK189" s="2242"/>
      <c r="LXL189" s="1360"/>
      <c r="LXM189" s="1360"/>
      <c r="LXN189" s="1360"/>
      <c r="LXO189" s="1360"/>
      <c r="LXP189" s="1362"/>
      <c r="LXQ189" s="955"/>
      <c r="LXR189" s="963"/>
      <c r="LXS189" s="2242"/>
      <c r="LXT189" s="1360"/>
      <c r="LXU189" s="1360"/>
      <c r="LXV189" s="1360"/>
      <c r="LXW189" s="1360"/>
      <c r="LXX189" s="1362"/>
      <c r="LXY189" s="955"/>
      <c r="LXZ189" s="963"/>
      <c r="LYA189" s="2242"/>
      <c r="LYB189" s="1360"/>
      <c r="LYC189" s="1360"/>
      <c r="LYD189" s="1360"/>
      <c r="LYE189" s="1360"/>
      <c r="LYF189" s="1362"/>
      <c r="LYG189" s="955"/>
      <c r="LYH189" s="963"/>
      <c r="LYI189" s="2242"/>
      <c r="LYJ189" s="1360"/>
      <c r="LYK189" s="1360"/>
      <c r="LYL189" s="1360"/>
      <c r="LYM189" s="1360"/>
      <c r="LYN189" s="1362"/>
      <c r="LYO189" s="955"/>
      <c r="LYP189" s="963"/>
      <c r="LYQ189" s="2242"/>
      <c r="LYR189" s="1360"/>
      <c r="LYS189" s="1360"/>
      <c r="LYT189" s="1360"/>
      <c r="LYU189" s="1360"/>
      <c r="LYV189" s="1362"/>
      <c r="LYW189" s="955"/>
      <c r="LYX189" s="963"/>
      <c r="LYY189" s="2242"/>
      <c r="LYZ189" s="1360"/>
      <c r="LZA189" s="1360"/>
      <c r="LZB189" s="1360"/>
      <c r="LZC189" s="1360"/>
      <c r="LZD189" s="1362"/>
      <c r="LZE189" s="955"/>
      <c r="LZF189" s="963"/>
      <c r="LZG189" s="2242"/>
      <c r="LZH189" s="1360"/>
      <c r="LZI189" s="1360"/>
      <c r="LZJ189" s="1360"/>
      <c r="LZK189" s="1360"/>
      <c r="LZL189" s="1362"/>
      <c r="LZM189" s="955"/>
      <c r="LZN189" s="963"/>
      <c r="LZO189" s="2242"/>
      <c r="LZP189" s="1360"/>
      <c r="LZQ189" s="1360"/>
      <c r="LZR189" s="1360"/>
      <c r="LZS189" s="1360"/>
      <c r="LZT189" s="1362"/>
      <c r="LZU189" s="955"/>
      <c r="LZV189" s="963"/>
      <c r="LZW189" s="2242"/>
      <c r="LZX189" s="1360"/>
      <c r="LZY189" s="1360"/>
      <c r="LZZ189" s="1360"/>
      <c r="MAA189" s="1360"/>
      <c r="MAB189" s="1362"/>
      <c r="MAC189" s="955"/>
      <c r="MAD189" s="963"/>
      <c r="MAE189" s="2242"/>
      <c r="MAF189" s="1360"/>
      <c r="MAG189" s="1360"/>
      <c r="MAH189" s="1360"/>
      <c r="MAI189" s="1360"/>
      <c r="MAJ189" s="1362"/>
      <c r="MAK189" s="955"/>
      <c r="MAL189" s="963"/>
      <c r="MAM189" s="2242"/>
      <c r="MAN189" s="1360"/>
      <c r="MAO189" s="1360"/>
      <c r="MAP189" s="1360"/>
      <c r="MAQ189" s="1360"/>
      <c r="MAR189" s="1362"/>
      <c r="MAS189" s="955"/>
      <c r="MAT189" s="963"/>
      <c r="MAU189" s="2242"/>
      <c r="MAV189" s="1360"/>
      <c r="MAW189" s="1360"/>
      <c r="MAX189" s="1360"/>
      <c r="MAY189" s="1360"/>
      <c r="MAZ189" s="1362"/>
      <c r="MBA189" s="955"/>
      <c r="MBB189" s="963"/>
      <c r="MBC189" s="2242"/>
      <c r="MBD189" s="1360"/>
      <c r="MBE189" s="1360"/>
      <c r="MBF189" s="1360"/>
      <c r="MBG189" s="1360"/>
      <c r="MBH189" s="1362"/>
      <c r="MBI189" s="955"/>
      <c r="MBJ189" s="963"/>
      <c r="MBK189" s="2242"/>
      <c r="MBL189" s="1360"/>
      <c r="MBM189" s="1360"/>
      <c r="MBN189" s="1360"/>
      <c r="MBO189" s="1360"/>
      <c r="MBP189" s="1362"/>
      <c r="MBQ189" s="955"/>
      <c r="MBR189" s="963"/>
      <c r="MBS189" s="2242"/>
      <c r="MBT189" s="1360"/>
      <c r="MBU189" s="1360"/>
      <c r="MBV189" s="1360"/>
      <c r="MBW189" s="1360"/>
      <c r="MBX189" s="1362"/>
      <c r="MBY189" s="955"/>
      <c r="MBZ189" s="963"/>
      <c r="MCA189" s="2242"/>
      <c r="MCB189" s="1360"/>
      <c r="MCC189" s="1360"/>
      <c r="MCD189" s="1360"/>
      <c r="MCE189" s="1360"/>
      <c r="MCF189" s="1362"/>
      <c r="MCG189" s="955"/>
      <c r="MCH189" s="963"/>
      <c r="MCI189" s="2242"/>
      <c r="MCJ189" s="1360"/>
      <c r="MCK189" s="1360"/>
      <c r="MCL189" s="1360"/>
      <c r="MCM189" s="1360"/>
      <c r="MCN189" s="1362"/>
      <c r="MCO189" s="955"/>
      <c r="MCP189" s="963"/>
      <c r="MCQ189" s="2242"/>
      <c r="MCR189" s="1360"/>
      <c r="MCS189" s="1360"/>
      <c r="MCT189" s="1360"/>
      <c r="MCU189" s="1360"/>
      <c r="MCV189" s="1362"/>
      <c r="MCW189" s="955"/>
      <c r="MCX189" s="963"/>
      <c r="MCY189" s="2242"/>
      <c r="MCZ189" s="1360"/>
      <c r="MDA189" s="1360"/>
      <c r="MDB189" s="1360"/>
      <c r="MDC189" s="1360"/>
      <c r="MDD189" s="1362"/>
      <c r="MDE189" s="955"/>
      <c r="MDF189" s="963"/>
      <c r="MDG189" s="2242"/>
      <c r="MDH189" s="1360"/>
      <c r="MDI189" s="1360"/>
      <c r="MDJ189" s="1360"/>
      <c r="MDK189" s="1360"/>
      <c r="MDL189" s="1362"/>
      <c r="MDM189" s="955"/>
      <c r="MDN189" s="963"/>
      <c r="MDO189" s="2242"/>
      <c r="MDP189" s="1360"/>
      <c r="MDQ189" s="1360"/>
      <c r="MDR189" s="1360"/>
      <c r="MDS189" s="1360"/>
      <c r="MDT189" s="1362"/>
      <c r="MDU189" s="955"/>
      <c r="MDV189" s="963"/>
      <c r="MDW189" s="2242"/>
      <c r="MDX189" s="1360"/>
      <c r="MDY189" s="1360"/>
      <c r="MDZ189" s="1360"/>
      <c r="MEA189" s="1360"/>
      <c r="MEB189" s="1362"/>
      <c r="MEC189" s="955"/>
      <c r="MED189" s="963"/>
      <c r="MEE189" s="2242"/>
      <c r="MEF189" s="1360"/>
      <c r="MEG189" s="1360"/>
      <c r="MEH189" s="1360"/>
      <c r="MEI189" s="1360"/>
      <c r="MEJ189" s="1362"/>
      <c r="MEK189" s="955"/>
      <c r="MEL189" s="963"/>
      <c r="MEM189" s="2242"/>
      <c r="MEN189" s="1360"/>
      <c r="MEO189" s="1360"/>
      <c r="MEP189" s="1360"/>
      <c r="MEQ189" s="1360"/>
      <c r="MER189" s="1362"/>
      <c r="MES189" s="955"/>
      <c r="MET189" s="963"/>
      <c r="MEU189" s="2242"/>
      <c r="MEV189" s="1360"/>
      <c r="MEW189" s="1360"/>
      <c r="MEX189" s="1360"/>
      <c r="MEY189" s="1360"/>
      <c r="MEZ189" s="1362"/>
      <c r="MFA189" s="955"/>
      <c r="MFB189" s="963"/>
      <c r="MFC189" s="2242"/>
      <c r="MFD189" s="1360"/>
      <c r="MFE189" s="1360"/>
      <c r="MFF189" s="1360"/>
      <c r="MFG189" s="1360"/>
      <c r="MFH189" s="1362"/>
      <c r="MFI189" s="955"/>
      <c r="MFJ189" s="963"/>
      <c r="MFK189" s="2242"/>
      <c r="MFL189" s="1360"/>
      <c r="MFM189" s="1360"/>
      <c r="MFN189" s="1360"/>
      <c r="MFO189" s="1360"/>
      <c r="MFP189" s="1362"/>
      <c r="MFQ189" s="955"/>
      <c r="MFR189" s="963"/>
      <c r="MFS189" s="2242"/>
      <c r="MFT189" s="1360"/>
      <c r="MFU189" s="1360"/>
      <c r="MFV189" s="1360"/>
      <c r="MFW189" s="1360"/>
      <c r="MFX189" s="1362"/>
      <c r="MFY189" s="955"/>
      <c r="MFZ189" s="963"/>
      <c r="MGA189" s="2242"/>
      <c r="MGB189" s="1360"/>
      <c r="MGC189" s="1360"/>
      <c r="MGD189" s="1360"/>
      <c r="MGE189" s="1360"/>
      <c r="MGF189" s="1362"/>
      <c r="MGG189" s="955"/>
      <c r="MGH189" s="963"/>
      <c r="MGI189" s="2242"/>
      <c r="MGJ189" s="1360"/>
      <c r="MGK189" s="1360"/>
      <c r="MGL189" s="1360"/>
      <c r="MGM189" s="1360"/>
      <c r="MGN189" s="1362"/>
      <c r="MGO189" s="955"/>
      <c r="MGP189" s="963"/>
      <c r="MGQ189" s="2242"/>
      <c r="MGR189" s="1360"/>
      <c r="MGS189" s="1360"/>
      <c r="MGT189" s="1360"/>
      <c r="MGU189" s="1360"/>
      <c r="MGV189" s="1362"/>
      <c r="MGW189" s="955"/>
      <c r="MGX189" s="963"/>
      <c r="MGY189" s="2242"/>
      <c r="MGZ189" s="1360"/>
      <c r="MHA189" s="1360"/>
      <c r="MHB189" s="1360"/>
      <c r="MHC189" s="1360"/>
      <c r="MHD189" s="1362"/>
      <c r="MHE189" s="955"/>
      <c r="MHF189" s="963"/>
      <c r="MHG189" s="2242"/>
      <c r="MHH189" s="1360"/>
      <c r="MHI189" s="1360"/>
      <c r="MHJ189" s="1360"/>
      <c r="MHK189" s="1360"/>
      <c r="MHL189" s="1362"/>
      <c r="MHM189" s="955"/>
      <c r="MHN189" s="963"/>
      <c r="MHO189" s="2242"/>
      <c r="MHP189" s="1360"/>
      <c r="MHQ189" s="1360"/>
      <c r="MHR189" s="1360"/>
      <c r="MHS189" s="1360"/>
      <c r="MHT189" s="1362"/>
      <c r="MHU189" s="955"/>
      <c r="MHV189" s="963"/>
      <c r="MHW189" s="2242"/>
      <c r="MHX189" s="1360"/>
      <c r="MHY189" s="1360"/>
      <c r="MHZ189" s="1360"/>
      <c r="MIA189" s="1360"/>
      <c r="MIB189" s="1362"/>
      <c r="MIC189" s="955"/>
      <c r="MID189" s="963"/>
      <c r="MIE189" s="2242"/>
      <c r="MIF189" s="1360"/>
      <c r="MIG189" s="1360"/>
      <c r="MIH189" s="1360"/>
      <c r="MII189" s="1360"/>
      <c r="MIJ189" s="1362"/>
      <c r="MIK189" s="955"/>
      <c r="MIL189" s="963"/>
      <c r="MIM189" s="2242"/>
      <c r="MIN189" s="1360"/>
      <c r="MIO189" s="1360"/>
      <c r="MIP189" s="1360"/>
      <c r="MIQ189" s="1360"/>
      <c r="MIR189" s="1362"/>
      <c r="MIS189" s="955"/>
      <c r="MIT189" s="963"/>
      <c r="MIU189" s="2242"/>
      <c r="MIV189" s="1360"/>
      <c r="MIW189" s="1360"/>
      <c r="MIX189" s="1360"/>
      <c r="MIY189" s="1360"/>
      <c r="MIZ189" s="1362"/>
      <c r="MJA189" s="955"/>
      <c r="MJB189" s="963"/>
      <c r="MJC189" s="2242"/>
      <c r="MJD189" s="1360"/>
      <c r="MJE189" s="1360"/>
      <c r="MJF189" s="1360"/>
      <c r="MJG189" s="1360"/>
      <c r="MJH189" s="1362"/>
      <c r="MJI189" s="955"/>
      <c r="MJJ189" s="963"/>
      <c r="MJK189" s="2242"/>
      <c r="MJL189" s="1360"/>
      <c r="MJM189" s="1360"/>
      <c r="MJN189" s="1360"/>
      <c r="MJO189" s="1360"/>
      <c r="MJP189" s="1362"/>
      <c r="MJQ189" s="955"/>
      <c r="MJR189" s="963"/>
      <c r="MJS189" s="2242"/>
      <c r="MJT189" s="1360"/>
      <c r="MJU189" s="1360"/>
      <c r="MJV189" s="1360"/>
      <c r="MJW189" s="1360"/>
      <c r="MJX189" s="1362"/>
      <c r="MJY189" s="955"/>
      <c r="MJZ189" s="963"/>
      <c r="MKA189" s="2242"/>
      <c r="MKB189" s="1360"/>
      <c r="MKC189" s="1360"/>
      <c r="MKD189" s="1360"/>
      <c r="MKE189" s="1360"/>
      <c r="MKF189" s="1362"/>
      <c r="MKG189" s="955"/>
      <c r="MKH189" s="963"/>
      <c r="MKI189" s="2242"/>
      <c r="MKJ189" s="1360"/>
      <c r="MKK189" s="1360"/>
      <c r="MKL189" s="1360"/>
      <c r="MKM189" s="1360"/>
      <c r="MKN189" s="1362"/>
      <c r="MKO189" s="955"/>
      <c r="MKP189" s="963"/>
      <c r="MKQ189" s="2242"/>
      <c r="MKR189" s="1360"/>
      <c r="MKS189" s="1360"/>
      <c r="MKT189" s="1360"/>
      <c r="MKU189" s="1360"/>
      <c r="MKV189" s="1362"/>
      <c r="MKW189" s="955"/>
      <c r="MKX189" s="963"/>
      <c r="MKY189" s="2242"/>
      <c r="MKZ189" s="1360"/>
      <c r="MLA189" s="1360"/>
      <c r="MLB189" s="1360"/>
      <c r="MLC189" s="1360"/>
      <c r="MLD189" s="1362"/>
      <c r="MLE189" s="955"/>
      <c r="MLF189" s="963"/>
      <c r="MLG189" s="2242"/>
      <c r="MLH189" s="1360"/>
      <c r="MLI189" s="1360"/>
      <c r="MLJ189" s="1360"/>
      <c r="MLK189" s="1360"/>
      <c r="MLL189" s="1362"/>
      <c r="MLM189" s="955"/>
      <c r="MLN189" s="963"/>
      <c r="MLO189" s="2242"/>
      <c r="MLP189" s="1360"/>
      <c r="MLQ189" s="1360"/>
      <c r="MLR189" s="1360"/>
      <c r="MLS189" s="1360"/>
      <c r="MLT189" s="1362"/>
      <c r="MLU189" s="955"/>
      <c r="MLV189" s="963"/>
      <c r="MLW189" s="2242"/>
      <c r="MLX189" s="1360"/>
      <c r="MLY189" s="1360"/>
      <c r="MLZ189" s="1360"/>
      <c r="MMA189" s="1360"/>
      <c r="MMB189" s="1362"/>
      <c r="MMC189" s="955"/>
      <c r="MMD189" s="963"/>
      <c r="MME189" s="2242"/>
      <c r="MMF189" s="1360"/>
      <c r="MMG189" s="1360"/>
      <c r="MMH189" s="1360"/>
      <c r="MMI189" s="1360"/>
      <c r="MMJ189" s="1362"/>
      <c r="MMK189" s="955"/>
      <c r="MML189" s="963"/>
      <c r="MMM189" s="2242"/>
      <c r="MMN189" s="1360"/>
      <c r="MMO189" s="1360"/>
      <c r="MMP189" s="1360"/>
      <c r="MMQ189" s="1360"/>
      <c r="MMR189" s="1362"/>
      <c r="MMS189" s="955"/>
      <c r="MMT189" s="963"/>
      <c r="MMU189" s="2242"/>
      <c r="MMV189" s="1360"/>
      <c r="MMW189" s="1360"/>
      <c r="MMX189" s="1360"/>
      <c r="MMY189" s="1360"/>
      <c r="MMZ189" s="1362"/>
      <c r="MNA189" s="955"/>
      <c r="MNB189" s="963"/>
      <c r="MNC189" s="2242"/>
      <c r="MND189" s="1360"/>
      <c r="MNE189" s="1360"/>
      <c r="MNF189" s="1360"/>
      <c r="MNG189" s="1360"/>
      <c r="MNH189" s="1362"/>
      <c r="MNI189" s="955"/>
      <c r="MNJ189" s="963"/>
      <c r="MNK189" s="2242"/>
      <c r="MNL189" s="1360"/>
      <c r="MNM189" s="1360"/>
      <c r="MNN189" s="1360"/>
      <c r="MNO189" s="1360"/>
      <c r="MNP189" s="1362"/>
      <c r="MNQ189" s="955"/>
      <c r="MNR189" s="963"/>
      <c r="MNS189" s="2242"/>
      <c r="MNT189" s="1360"/>
      <c r="MNU189" s="1360"/>
      <c r="MNV189" s="1360"/>
      <c r="MNW189" s="1360"/>
      <c r="MNX189" s="1362"/>
      <c r="MNY189" s="955"/>
      <c r="MNZ189" s="963"/>
      <c r="MOA189" s="2242"/>
      <c r="MOB189" s="1360"/>
      <c r="MOC189" s="1360"/>
      <c r="MOD189" s="1360"/>
      <c r="MOE189" s="1360"/>
      <c r="MOF189" s="1362"/>
      <c r="MOG189" s="955"/>
      <c r="MOH189" s="963"/>
      <c r="MOI189" s="2242"/>
      <c r="MOJ189" s="1360"/>
      <c r="MOK189" s="1360"/>
      <c r="MOL189" s="1360"/>
      <c r="MOM189" s="1360"/>
      <c r="MON189" s="1362"/>
      <c r="MOO189" s="955"/>
      <c r="MOP189" s="963"/>
      <c r="MOQ189" s="2242"/>
      <c r="MOR189" s="1360"/>
      <c r="MOS189" s="1360"/>
      <c r="MOT189" s="1360"/>
      <c r="MOU189" s="1360"/>
      <c r="MOV189" s="1362"/>
      <c r="MOW189" s="955"/>
      <c r="MOX189" s="963"/>
      <c r="MOY189" s="2242"/>
      <c r="MOZ189" s="1360"/>
      <c r="MPA189" s="1360"/>
      <c r="MPB189" s="1360"/>
      <c r="MPC189" s="1360"/>
      <c r="MPD189" s="1362"/>
      <c r="MPE189" s="955"/>
      <c r="MPF189" s="963"/>
      <c r="MPG189" s="2242"/>
      <c r="MPH189" s="1360"/>
      <c r="MPI189" s="1360"/>
      <c r="MPJ189" s="1360"/>
      <c r="MPK189" s="1360"/>
      <c r="MPL189" s="1362"/>
      <c r="MPM189" s="955"/>
      <c r="MPN189" s="963"/>
      <c r="MPO189" s="2242"/>
      <c r="MPP189" s="1360"/>
      <c r="MPQ189" s="1360"/>
      <c r="MPR189" s="1360"/>
      <c r="MPS189" s="1360"/>
      <c r="MPT189" s="1362"/>
      <c r="MPU189" s="955"/>
      <c r="MPV189" s="963"/>
      <c r="MPW189" s="2242"/>
      <c r="MPX189" s="1360"/>
      <c r="MPY189" s="1360"/>
      <c r="MPZ189" s="1360"/>
      <c r="MQA189" s="1360"/>
      <c r="MQB189" s="1362"/>
      <c r="MQC189" s="955"/>
      <c r="MQD189" s="963"/>
      <c r="MQE189" s="2242"/>
      <c r="MQF189" s="1360"/>
      <c r="MQG189" s="1360"/>
      <c r="MQH189" s="1360"/>
      <c r="MQI189" s="1360"/>
      <c r="MQJ189" s="1362"/>
      <c r="MQK189" s="955"/>
      <c r="MQL189" s="963"/>
      <c r="MQM189" s="2242"/>
      <c r="MQN189" s="1360"/>
      <c r="MQO189" s="1360"/>
      <c r="MQP189" s="1360"/>
      <c r="MQQ189" s="1360"/>
      <c r="MQR189" s="1362"/>
      <c r="MQS189" s="955"/>
      <c r="MQT189" s="963"/>
      <c r="MQU189" s="2242"/>
      <c r="MQV189" s="1360"/>
      <c r="MQW189" s="1360"/>
      <c r="MQX189" s="1360"/>
      <c r="MQY189" s="1360"/>
      <c r="MQZ189" s="1362"/>
      <c r="MRA189" s="955"/>
      <c r="MRB189" s="963"/>
      <c r="MRC189" s="2242"/>
      <c r="MRD189" s="1360"/>
      <c r="MRE189" s="1360"/>
      <c r="MRF189" s="1360"/>
      <c r="MRG189" s="1360"/>
      <c r="MRH189" s="1362"/>
      <c r="MRI189" s="955"/>
      <c r="MRJ189" s="963"/>
      <c r="MRK189" s="2242"/>
      <c r="MRL189" s="1360"/>
      <c r="MRM189" s="1360"/>
      <c r="MRN189" s="1360"/>
      <c r="MRO189" s="1360"/>
      <c r="MRP189" s="1362"/>
      <c r="MRQ189" s="955"/>
      <c r="MRR189" s="963"/>
      <c r="MRS189" s="2242"/>
      <c r="MRT189" s="1360"/>
      <c r="MRU189" s="1360"/>
      <c r="MRV189" s="1360"/>
      <c r="MRW189" s="1360"/>
      <c r="MRX189" s="1362"/>
      <c r="MRY189" s="955"/>
      <c r="MRZ189" s="963"/>
      <c r="MSA189" s="2242"/>
      <c r="MSB189" s="1360"/>
      <c r="MSC189" s="1360"/>
      <c r="MSD189" s="1360"/>
      <c r="MSE189" s="1360"/>
      <c r="MSF189" s="1362"/>
      <c r="MSG189" s="955"/>
      <c r="MSH189" s="963"/>
      <c r="MSI189" s="2242"/>
      <c r="MSJ189" s="1360"/>
      <c r="MSK189" s="1360"/>
      <c r="MSL189" s="1360"/>
      <c r="MSM189" s="1360"/>
      <c r="MSN189" s="1362"/>
      <c r="MSO189" s="955"/>
      <c r="MSP189" s="963"/>
      <c r="MSQ189" s="2242"/>
      <c r="MSR189" s="1360"/>
      <c r="MSS189" s="1360"/>
      <c r="MST189" s="1360"/>
      <c r="MSU189" s="1360"/>
      <c r="MSV189" s="1362"/>
      <c r="MSW189" s="955"/>
      <c r="MSX189" s="963"/>
      <c r="MSY189" s="2242"/>
      <c r="MSZ189" s="1360"/>
      <c r="MTA189" s="1360"/>
      <c r="MTB189" s="1360"/>
      <c r="MTC189" s="1360"/>
      <c r="MTD189" s="1362"/>
      <c r="MTE189" s="955"/>
      <c r="MTF189" s="963"/>
      <c r="MTG189" s="2242"/>
      <c r="MTH189" s="1360"/>
      <c r="MTI189" s="1360"/>
      <c r="MTJ189" s="1360"/>
      <c r="MTK189" s="1360"/>
      <c r="MTL189" s="1362"/>
      <c r="MTM189" s="955"/>
      <c r="MTN189" s="963"/>
      <c r="MTO189" s="2242"/>
      <c r="MTP189" s="1360"/>
      <c r="MTQ189" s="1360"/>
      <c r="MTR189" s="1360"/>
      <c r="MTS189" s="1360"/>
      <c r="MTT189" s="1362"/>
      <c r="MTU189" s="955"/>
      <c r="MTV189" s="963"/>
      <c r="MTW189" s="2242"/>
      <c r="MTX189" s="1360"/>
      <c r="MTY189" s="1360"/>
      <c r="MTZ189" s="1360"/>
      <c r="MUA189" s="1360"/>
      <c r="MUB189" s="1362"/>
      <c r="MUC189" s="955"/>
      <c r="MUD189" s="963"/>
      <c r="MUE189" s="2242"/>
      <c r="MUF189" s="1360"/>
      <c r="MUG189" s="1360"/>
      <c r="MUH189" s="1360"/>
      <c r="MUI189" s="1360"/>
      <c r="MUJ189" s="1362"/>
      <c r="MUK189" s="955"/>
      <c r="MUL189" s="963"/>
      <c r="MUM189" s="2242"/>
      <c r="MUN189" s="1360"/>
      <c r="MUO189" s="1360"/>
      <c r="MUP189" s="1360"/>
      <c r="MUQ189" s="1360"/>
      <c r="MUR189" s="1362"/>
      <c r="MUS189" s="955"/>
      <c r="MUT189" s="963"/>
      <c r="MUU189" s="2242"/>
      <c r="MUV189" s="1360"/>
      <c r="MUW189" s="1360"/>
      <c r="MUX189" s="1360"/>
      <c r="MUY189" s="1360"/>
      <c r="MUZ189" s="1362"/>
      <c r="MVA189" s="955"/>
      <c r="MVB189" s="963"/>
      <c r="MVC189" s="2242"/>
      <c r="MVD189" s="1360"/>
      <c r="MVE189" s="1360"/>
      <c r="MVF189" s="1360"/>
      <c r="MVG189" s="1360"/>
      <c r="MVH189" s="1362"/>
      <c r="MVI189" s="955"/>
      <c r="MVJ189" s="963"/>
      <c r="MVK189" s="2242"/>
      <c r="MVL189" s="1360"/>
      <c r="MVM189" s="1360"/>
      <c r="MVN189" s="1360"/>
      <c r="MVO189" s="1360"/>
      <c r="MVP189" s="1362"/>
      <c r="MVQ189" s="955"/>
      <c r="MVR189" s="963"/>
      <c r="MVS189" s="2242"/>
      <c r="MVT189" s="1360"/>
      <c r="MVU189" s="1360"/>
      <c r="MVV189" s="1360"/>
      <c r="MVW189" s="1360"/>
      <c r="MVX189" s="1362"/>
      <c r="MVY189" s="955"/>
      <c r="MVZ189" s="963"/>
      <c r="MWA189" s="2242"/>
      <c r="MWB189" s="1360"/>
      <c r="MWC189" s="1360"/>
      <c r="MWD189" s="1360"/>
      <c r="MWE189" s="1360"/>
      <c r="MWF189" s="1362"/>
      <c r="MWG189" s="955"/>
      <c r="MWH189" s="963"/>
      <c r="MWI189" s="2242"/>
      <c r="MWJ189" s="1360"/>
      <c r="MWK189" s="1360"/>
      <c r="MWL189" s="1360"/>
      <c r="MWM189" s="1360"/>
      <c r="MWN189" s="1362"/>
      <c r="MWO189" s="955"/>
      <c r="MWP189" s="963"/>
      <c r="MWQ189" s="2242"/>
      <c r="MWR189" s="1360"/>
      <c r="MWS189" s="1360"/>
      <c r="MWT189" s="1360"/>
      <c r="MWU189" s="1360"/>
      <c r="MWV189" s="1362"/>
      <c r="MWW189" s="955"/>
      <c r="MWX189" s="963"/>
      <c r="MWY189" s="2242"/>
      <c r="MWZ189" s="1360"/>
      <c r="MXA189" s="1360"/>
      <c r="MXB189" s="1360"/>
      <c r="MXC189" s="1360"/>
      <c r="MXD189" s="1362"/>
      <c r="MXE189" s="955"/>
      <c r="MXF189" s="963"/>
      <c r="MXG189" s="2242"/>
      <c r="MXH189" s="1360"/>
      <c r="MXI189" s="1360"/>
      <c r="MXJ189" s="1360"/>
      <c r="MXK189" s="1360"/>
      <c r="MXL189" s="1362"/>
      <c r="MXM189" s="955"/>
      <c r="MXN189" s="963"/>
      <c r="MXO189" s="2242"/>
      <c r="MXP189" s="1360"/>
      <c r="MXQ189" s="1360"/>
      <c r="MXR189" s="1360"/>
      <c r="MXS189" s="1360"/>
      <c r="MXT189" s="1362"/>
      <c r="MXU189" s="955"/>
      <c r="MXV189" s="963"/>
      <c r="MXW189" s="2242"/>
      <c r="MXX189" s="1360"/>
      <c r="MXY189" s="1360"/>
      <c r="MXZ189" s="1360"/>
      <c r="MYA189" s="1360"/>
      <c r="MYB189" s="1362"/>
      <c r="MYC189" s="955"/>
      <c r="MYD189" s="963"/>
      <c r="MYE189" s="2242"/>
      <c r="MYF189" s="1360"/>
      <c r="MYG189" s="1360"/>
      <c r="MYH189" s="1360"/>
      <c r="MYI189" s="1360"/>
      <c r="MYJ189" s="1362"/>
      <c r="MYK189" s="955"/>
      <c r="MYL189" s="963"/>
      <c r="MYM189" s="2242"/>
      <c r="MYN189" s="1360"/>
      <c r="MYO189" s="1360"/>
      <c r="MYP189" s="1360"/>
      <c r="MYQ189" s="1360"/>
      <c r="MYR189" s="1362"/>
      <c r="MYS189" s="955"/>
      <c r="MYT189" s="963"/>
      <c r="MYU189" s="2242"/>
      <c r="MYV189" s="1360"/>
      <c r="MYW189" s="1360"/>
      <c r="MYX189" s="1360"/>
      <c r="MYY189" s="1360"/>
      <c r="MYZ189" s="1362"/>
      <c r="MZA189" s="955"/>
      <c r="MZB189" s="963"/>
      <c r="MZC189" s="2242"/>
      <c r="MZD189" s="1360"/>
      <c r="MZE189" s="1360"/>
      <c r="MZF189" s="1360"/>
      <c r="MZG189" s="1360"/>
      <c r="MZH189" s="1362"/>
      <c r="MZI189" s="955"/>
      <c r="MZJ189" s="963"/>
      <c r="MZK189" s="2242"/>
      <c r="MZL189" s="1360"/>
      <c r="MZM189" s="1360"/>
      <c r="MZN189" s="1360"/>
      <c r="MZO189" s="1360"/>
      <c r="MZP189" s="1362"/>
      <c r="MZQ189" s="955"/>
      <c r="MZR189" s="963"/>
      <c r="MZS189" s="2242"/>
      <c r="MZT189" s="1360"/>
      <c r="MZU189" s="1360"/>
      <c r="MZV189" s="1360"/>
      <c r="MZW189" s="1360"/>
      <c r="MZX189" s="1362"/>
      <c r="MZY189" s="955"/>
      <c r="MZZ189" s="963"/>
      <c r="NAA189" s="2242"/>
      <c r="NAB189" s="1360"/>
      <c r="NAC189" s="1360"/>
      <c r="NAD189" s="1360"/>
      <c r="NAE189" s="1360"/>
      <c r="NAF189" s="1362"/>
      <c r="NAG189" s="955"/>
      <c r="NAH189" s="963"/>
      <c r="NAI189" s="2242"/>
      <c r="NAJ189" s="1360"/>
      <c r="NAK189" s="1360"/>
      <c r="NAL189" s="1360"/>
      <c r="NAM189" s="1360"/>
      <c r="NAN189" s="1362"/>
      <c r="NAO189" s="955"/>
      <c r="NAP189" s="963"/>
      <c r="NAQ189" s="2242"/>
      <c r="NAR189" s="1360"/>
      <c r="NAS189" s="1360"/>
      <c r="NAT189" s="1360"/>
      <c r="NAU189" s="1360"/>
      <c r="NAV189" s="1362"/>
      <c r="NAW189" s="955"/>
      <c r="NAX189" s="963"/>
      <c r="NAY189" s="2242"/>
      <c r="NAZ189" s="1360"/>
      <c r="NBA189" s="1360"/>
      <c r="NBB189" s="1360"/>
      <c r="NBC189" s="1360"/>
      <c r="NBD189" s="1362"/>
      <c r="NBE189" s="955"/>
      <c r="NBF189" s="963"/>
      <c r="NBG189" s="2242"/>
      <c r="NBH189" s="1360"/>
      <c r="NBI189" s="1360"/>
      <c r="NBJ189" s="1360"/>
      <c r="NBK189" s="1360"/>
      <c r="NBL189" s="1362"/>
      <c r="NBM189" s="955"/>
      <c r="NBN189" s="963"/>
      <c r="NBO189" s="2242"/>
      <c r="NBP189" s="1360"/>
      <c r="NBQ189" s="1360"/>
      <c r="NBR189" s="1360"/>
      <c r="NBS189" s="1360"/>
      <c r="NBT189" s="1362"/>
      <c r="NBU189" s="955"/>
      <c r="NBV189" s="963"/>
      <c r="NBW189" s="2242"/>
      <c r="NBX189" s="1360"/>
      <c r="NBY189" s="1360"/>
      <c r="NBZ189" s="1360"/>
      <c r="NCA189" s="1360"/>
      <c r="NCB189" s="1362"/>
      <c r="NCC189" s="955"/>
      <c r="NCD189" s="963"/>
      <c r="NCE189" s="2242"/>
      <c r="NCF189" s="1360"/>
      <c r="NCG189" s="1360"/>
      <c r="NCH189" s="1360"/>
      <c r="NCI189" s="1360"/>
      <c r="NCJ189" s="1362"/>
      <c r="NCK189" s="955"/>
      <c r="NCL189" s="963"/>
      <c r="NCM189" s="2242"/>
      <c r="NCN189" s="1360"/>
      <c r="NCO189" s="1360"/>
      <c r="NCP189" s="1360"/>
      <c r="NCQ189" s="1360"/>
      <c r="NCR189" s="1362"/>
      <c r="NCS189" s="955"/>
      <c r="NCT189" s="963"/>
      <c r="NCU189" s="2242"/>
      <c r="NCV189" s="1360"/>
      <c r="NCW189" s="1360"/>
      <c r="NCX189" s="1360"/>
      <c r="NCY189" s="1360"/>
      <c r="NCZ189" s="1362"/>
      <c r="NDA189" s="955"/>
      <c r="NDB189" s="963"/>
      <c r="NDC189" s="2242"/>
      <c r="NDD189" s="1360"/>
      <c r="NDE189" s="1360"/>
      <c r="NDF189" s="1360"/>
      <c r="NDG189" s="1360"/>
      <c r="NDH189" s="1362"/>
      <c r="NDI189" s="955"/>
      <c r="NDJ189" s="963"/>
      <c r="NDK189" s="2242"/>
      <c r="NDL189" s="1360"/>
      <c r="NDM189" s="1360"/>
      <c r="NDN189" s="1360"/>
      <c r="NDO189" s="1360"/>
      <c r="NDP189" s="1362"/>
      <c r="NDQ189" s="955"/>
      <c r="NDR189" s="963"/>
      <c r="NDS189" s="2242"/>
      <c r="NDT189" s="1360"/>
      <c r="NDU189" s="1360"/>
      <c r="NDV189" s="1360"/>
      <c r="NDW189" s="1360"/>
      <c r="NDX189" s="1362"/>
      <c r="NDY189" s="955"/>
      <c r="NDZ189" s="963"/>
      <c r="NEA189" s="2242"/>
      <c r="NEB189" s="1360"/>
      <c r="NEC189" s="1360"/>
      <c r="NED189" s="1360"/>
      <c r="NEE189" s="1360"/>
      <c r="NEF189" s="1362"/>
      <c r="NEG189" s="955"/>
      <c r="NEH189" s="963"/>
      <c r="NEI189" s="2242"/>
      <c r="NEJ189" s="1360"/>
      <c r="NEK189" s="1360"/>
      <c r="NEL189" s="1360"/>
      <c r="NEM189" s="1360"/>
      <c r="NEN189" s="1362"/>
      <c r="NEO189" s="955"/>
      <c r="NEP189" s="963"/>
      <c r="NEQ189" s="2242"/>
      <c r="NER189" s="1360"/>
      <c r="NES189" s="1360"/>
      <c r="NET189" s="1360"/>
      <c r="NEU189" s="1360"/>
      <c r="NEV189" s="1362"/>
      <c r="NEW189" s="955"/>
      <c r="NEX189" s="963"/>
      <c r="NEY189" s="2242"/>
      <c r="NEZ189" s="1360"/>
      <c r="NFA189" s="1360"/>
      <c r="NFB189" s="1360"/>
      <c r="NFC189" s="1360"/>
      <c r="NFD189" s="1362"/>
      <c r="NFE189" s="955"/>
      <c r="NFF189" s="963"/>
      <c r="NFG189" s="2242"/>
      <c r="NFH189" s="1360"/>
      <c r="NFI189" s="1360"/>
      <c r="NFJ189" s="1360"/>
      <c r="NFK189" s="1360"/>
      <c r="NFL189" s="1362"/>
      <c r="NFM189" s="955"/>
      <c r="NFN189" s="963"/>
      <c r="NFO189" s="2242"/>
      <c r="NFP189" s="1360"/>
      <c r="NFQ189" s="1360"/>
      <c r="NFR189" s="1360"/>
      <c r="NFS189" s="1360"/>
      <c r="NFT189" s="1362"/>
      <c r="NFU189" s="955"/>
      <c r="NFV189" s="963"/>
      <c r="NFW189" s="2242"/>
      <c r="NFX189" s="1360"/>
      <c r="NFY189" s="1360"/>
      <c r="NFZ189" s="1360"/>
      <c r="NGA189" s="1360"/>
      <c r="NGB189" s="1362"/>
      <c r="NGC189" s="955"/>
      <c r="NGD189" s="963"/>
      <c r="NGE189" s="2242"/>
      <c r="NGF189" s="1360"/>
      <c r="NGG189" s="1360"/>
      <c r="NGH189" s="1360"/>
      <c r="NGI189" s="1360"/>
      <c r="NGJ189" s="1362"/>
      <c r="NGK189" s="955"/>
      <c r="NGL189" s="963"/>
      <c r="NGM189" s="2242"/>
      <c r="NGN189" s="1360"/>
      <c r="NGO189" s="1360"/>
      <c r="NGP189" s="1360"/>
      <c r="NGQ189" s="1360"/>
      <c r="NGR189" s="1362"/>
      <c r="NGS189" s="955"/>
      <c r="NGT189" s="963"/>
      <c r="NGU189" s="2242"/>
      <c r="NGV189" s="1360"/>
      <c r="NGW189" s="1360"/>
      <c r="NGX189" s="1360"/>
      <c r="NGY189" s="1360"/>
      <c r="NGZ189" s="1362"/>
      <c r="NHA189" s="955"/>
      <c r="NHB189" s="963"/>
      <c r="NHC189" s="2242"/>
      <c r="NHD189" s="1360"/>
      <c r="NHE189" s="1360"/>
      <c r="NHF189" s="1360"/>
      <c r="NHG189" s="1360"/>
      <c r="NHH189" s="1362"/>
      <c r="NHI189" s="955"/>
      <c r="NHJ189" s="963"/>
      <c r="NHK189" s="2242"/>
      <c r="NHL189" s="1360"/>
      <c r="NHM189" s="1360"/>
      <c r="NHN189" s="1360"/>
      <c r="NHO189" s="1360"/>
      <c r="NHP189" s="1362"/>
      <c r="NHQ189" s="955"/>
      <c r="NHR189" s="963"/>
      <c r="NHS189" s="2242"/>
      <c r="NHT189" s="1360"/>
      <c r="NHU189" s="1360"/>
      <c r="NHV189" s="1360"/>
      <c r="NHW189" s="1360"/>
      <c r="NHX189" s="1362"/>
      <c r="NHY189" s="955"/>
      <c r="NHZ189" s="963"/>
      <c r="NIA189" s="2242"/>
      <c r="NIB189" s="1360"/>
      <c r="NIC189" s="1360"/>
      <c r="NID189" s="1360"/>
      <c r="NIE189" s="1360"/>
      <c r="NIF189" s="1362"/>
      <c r="NIG189" s="955"/>
      <c r="NIH189" s="963"/>
      <c r="NII189" s="2242"/>
      <c r="NIJ189" s="1360"/>
      <c r="NIK189" s="1360"/>
      <c r="NIL189" s="1360"/>
      <c r="NIM189" s="1360"/>
      <c r="NIN189" s="1362"/>
      <c r="NIO189" s="955"/>
      <c r="NIP189" s="963"/>
      <c r="NIQ189" s="2242"/>
      <c r="NIR189" s="1360"/>
      <c r="NIS189" s="1360"/>
      <c r="NIT189" s="1360"/>
      <c r="NIU189" s="1360"/>
      <c r="NIV189" s="1362"/>
      <c r="NIW189" s="955"/>
      <c r="NIX189" s="963"/>
      <c r="NIY189" s="2242"/>
      <c r="NIZ189" s="1360"/>
      <c r="NJA189" s="1360"/>
      <c r="NJB189" s="1360"/>
      <c r="NJC189" s="1360"/>
      <c r="NJD189" s="1362"/>
      <c r="NJE189" s="955"/>
      <c r="NJF189" s="963"/>
      <c r="NJG189" s="2242"/>
      <c r="NJH189" s="1360"/>
      <c r="NJI189" s="1360"/>
      <c r="NJJ189" s="1360"/>
      <c r="NJK189" s="1360"/>
      <c r="NJL189" s="1362"/>
      <c r="NJM189" s="955"/>
      <c r="NJN189" s="963"/>
      <c r="NJO189" s="2242"/>
      <c r="NJP189" s="1360"/>
      <c r="NJQ189" s="1360"/>
      <c r="NJR189" s="1360"/>
      <c r="NJS189" s="1360"/>
      <c r="NJT189" s="1362"/>
      <c r="NJU189" s="955"/>
      <c r="NJV189" s="963"/>
      <c r="NJW189" s="2242"/>
      <c r="NJX189" s="1360"/>
      <c r="NJY189" s="1360"/>
      <c r="NJZ189" s="1360"/>
      <c r="NKA189" s="1360"/>
      <c r="NKB189" s="1362"/>
      <c r="NKC189" s="955"/>
      <c r="NKD189" s="963"/>
      <c r="NKE189" s="2242"/>
      <c r="NKF189" s="1360"/>
      <c r="NKG189" s="1360"/>
      <c r="NKH189" s="1360"/>
      <c r="NKI189" s="1360"/>
      <c r="NKJ189" s="1362"/>
      <c r="NKK189" s="955"/>
      <c r="NKL189" s="963"/>
      <c r="NKM189" s="2242"/>
      <c r="NKN189" s="1360"/>
      <c r="NKO189" s="1360"/>
      <c r="NKP189" s="1360"/>
      <c r="NKQ189" s="1360"/>
      <c r="NKR189" s="1362"/>
      <c r="NKS189" s="955"/>
      <c r="NKT189" s="963"/>
      <c r="NKU189" s="2242"/>
      <c r="NKV189" s="1360"/>
      <c r="NKW189" s="1360"/>
      <c r="NKX189" s="1360"/>
      <c r="NKY189" s="1360"/>
      <c r="NKZ189" s="1362"/>
      <c r="NLA189" s="955"/>
      <c r="NLB189" s="963"/>
      <c r="NLC189" s="2242"/>
      <c r="NLD189" s="1360"/>
      <c r="NLE189" s="1360"/>
      <c r="NLF189" s="1360"/>
      <c r="NLG189" s="1360"/>
      <c r="NLH189" s="1362"/>
      <c r="NLI189" s="955"/>
      <c r="NLJ189" s="963"/>
      <c r="NLK189" s="2242"/>
      <c r="NLL189" s="1360"/>
      <c r="NLM189" s="1360"/>
      <c r="NLN189" s="1360"/>
      <c r="NLO189" s="1360"/>
      <c r="NLP189" s="1362"/>
      <c r="NLQ189" s="955"/>
      <c r="NLR189" s="963"/>
      <c r="NLS189" s="2242"/>
      <c r="NLT189" s="1360"/>
      <c r="NLU189" s="1360"/>
      <c r="NLV189" s="1360"/>
      <c r="NLW189" s="1360"/>
      <c r="NLX189" s="1362"/>
      <c r="NLY189" s="955"/>
      <c r="NLZ189" s="963"/>
      <c r="NMA189" s="2242"/>
      <c r="NMB189" s="1360"/>
      <c r="NMC189" s="1360"/>
      <c r="NMD189" s="1360"/>
      <c r="NME189" s="1360"/>
      <c r="NMF189" s="1362"/>
      <c r="NMG189" s="955"/>
      <c r="NMH189" s="963"/>
      <c r="NMI189" s="2242"/>
      <c r="NMJ189" s="1360"/>
      <c r="NMK189" s="1360"/>
      <c r="NML189" s="1360"/>
      <c r="NMM189" s="1360"/>
      <c r="NMN189" s="1362"/>
      <c r="NMO189" s="955"/>
      <c r="NMP189" s="963"/>
      <c r="NMQ189" s="2242"/>
      <c r="NMR189" s="1360"/>
      <c r="NMS189" s="1360"/>
      <c r="NMT189" s="1360"/>
      <c r="NMU189" s="1360"/>
      <c r="NMV189" s="1362"/>
      <c r="NMW189" s="955"/>
      <c r="NMX189" s="963"/>
      <c r="NMY189" s="2242"/>
      <c r="NMZ189" s="1360"/>
      <c r="NNA189" s="1360"/>
      <c r="NNB189" s="1360"/>
      <c r="NNC189" s="1360"/>
      <c r="NND189" s="1362"/>
      <c r="NNE189" s="955"/>
      <c r="NNF189" s="963"/>
      <c r="NNG189" s="2242"/>
      <c r="NNH189" s="1360"/>
      <c r="NNI189" s="1360"/>
      <c r="NNJ189" s="1360"/>
      <c r="NNK189" s="1360"/>
      <c r="NNL189" s="1362"/>
      <c r="NNM189" s="955"/>
      <c r="NNN189" s="963"/>
      <c r="NNO189" s="2242"/>
      <c r="NNP189" s="1360"/>
      <c r="NNQ189" s="1360"/>
      <c r="NNR189" s="1360"/>
      <c r="NNS189" s="1360"/>
      <c r="NNT189" s="1362"/>
      <c r="NNU189" s="955"/>
      <c r="NNV189" s="963"/>
      <c r="NNW189" s="2242"/>
      <c r="NNX189" s="1360"/>
      <c r="NNY189" s="1360"/>
      <c r="NNZ189" s="1360"/>
      <c r="NOA189" s="1360"/>
      <c r="NOB189" s="1362"/>
      <c r="NOC189" s="955"/>
      <c r="NOD189" s="963"/>
      <c r="NOE189" s="2242"/>
      <c r="NOF189" s="1360"/>
      <c r="NOG189" s="1360"/>
      <c r="NOH189" s="1360"/>
      <c r="NOI189" s="1360"/>
      <c r="NOJ189" s="1362"/>
      <c r="NOK189" s="955"/>
      <c r="NOL189" s="963"/>
      <c r="NOM189" s="2242"/>
      <c r="NON189" s="1360"/>
      <c r="NOO189" s="1360"/>
      <c r="NOP189" s="1360"/>
      <c r="NOQ189" s="1360"/>
      <c r="NOR189" s="1362"/>
      <c r="NOS189" s="955"/>
      <c r="NOT189" s="963"/>
      <c r="NOU189" s="2242"/>
      <c r="NOV189" s="1360"/>
      <c r="NOW189" s="1360"/>
      <c r="NOX189" s="1360"/>
      <c r="NOY189" s="1360"/>
      <c r="NOZ189" s="1362"/>
      <c r="NPA189" s="955"/>
      <c r="NPB189" s="963"/>
      <c r="NPC189" s="2242"/>
      <c r="NPD189" s="1360"/>
      <c r="NPE189" s="1360"/>
      <c r="NPF189" s="1360"/>
      <c r="NPG189" s="1360"/>
      <c r="NPH189" s="1362"/>
      <c r="NPI189" s="955"/>
      <c r="NPJ189" s="963"/>
      <c r="NPK189" s="2242"/>
      <c r="NPL189" s="1360"/>
      <c r="NPM189" s="1360"/>
      <c r="NPN189" s="1360"/>
      <c r="NPO189" s="1360"/>
      <c r="NPP189" s="1362"/>
      <c r="NPQ189" s="955"/>
      <c r="NPR189" s="963"/>
      <c r="NPS189" s="2242"/>
      <c r="NPT189" s="1360"/>
      <c r="NPU189" s="1360"/>
      <c r="NPV189" s="1360"/>
      <c r="NPW189" s="1360"/>
      <c r="NPX189" s="1362"/>
      <c r="NPY189" s="955"/>
      <c r="NPZ189" s="963"/>
      <c r="NQA189" s="2242"/>
      <c r="NQB189" s="1360"/>
      <c r="NQC189" s="1360"/>
      <c r="NQD189" s="1360"/>
      <c r="NQE189" s="1360"/>
      <c r="NQF189" s="1362"/>
      <c r="NQG189" s="955"/>
      <c r="NQH189" s="963"/>
      <c r="NQI189" s="2242"/>
      <c r="NQJ189" s="1360"/>
      <c r="NQK189" s="1360"/>
      <c r="NQL189" s="1360"/>
      <c r="NQM189" s="1360"/>
      <c r="NQN189" s="1362"/>
      <c r="NQO189" s="955"/>
      <c r="NQP189" s="963"/>
      <c r="NQQ189" s="2242"/>
      <c r="NQR189" s="1360"/>
      <c r="NQS189" s="1360"/>
      <c r="NQT189" s="1360"/>
      <c r="NQU189" s="1360"/>
      <c r="NQV189" s="1362"/>
      <c r="NQW189" s="955"/>
      <c r="NQX189" s="963"/>
      <c r="NQY189" s="2242"/>
      <c r="NQZ189" s="1360"/>
      <c r="NRA189" s="1360"/>
      <c r="NRB189" s="1360"/>
      <c r="NRC189" s="1360"/>
      <c r="NRD189" s="1362"/>
      <c r="NRE189" s="955"/>
      <c r="NRF189" s="963"/>
      <c r="NRG189" s="2242"/>
      <c r="NRH189" s="1360"/>
      <c r="NRI189" s="1360"/>
      <c r="NRJ189" s="1360"/>
      <c r="NRK189" s="1360"/>
      <c r="NRL189" s="1362"/>
      <c r="NRM189" s="955"/>
      <c r="NRN189" s="963"/>
      <c r="NRO189" s="2242"/>
      <c r="NRP189" s="1360"/>
      <c r="NRQ189" s="1360"/>
      <c r="NRR189" s="1360"/>
      <c r="NRS189" s="1360"/>
      <c r="NRT189" s="1362"/>
      <c r="NRU189" s="955"/>
      <c r="NRV189" s="963"/>
      <c r="NRW189" s="2242"/>
      <c r="NRX189" s="1360"/>
      <c r="NRY189" s="1360"/>
      <c r="NRZ189" s="1360"/>
      <c r="NSA189" s="1360"/>
      <c r="NSB189" s="1362"/>
      <c r="NSC189" s="955"/>
      <c r="NSD189" s="963"/>
      <c r="NSE189" s="2242"/>
      <c r="NSF189" s="1360"/>
      <c r="NSG189" s="1360"/>
      <c r="NSH189" s="1360"/>
      <c r="NSI189" s="1360"/>
      <c r="NSJ189" s="1362"/>
      <c r="NSK189" s="955"/>
      <c r="NSL189" s="963"/>
      <c r="NSM189" s="2242"/>
      <c r="NSN189" s="1360"/>
      <c r="NSO189" s="1360"/>
      <c r="NSP189" s="1360"/>
      <c r="NSQ189" s="1360"/>
      <c r="NSR189" s="1362"/>
      <c r="NSS189" s="955"/>
      <c r="NST189" s="963"/>
      <c r="NSU189" s="2242"/>
      <c r="NSV189" s="1360"/>
      <c r="NSW189" s="1360"/>
      <c r="NSX189" s="1360"/>
      <c r="NSY189" s="1360"/>
      <c r="NSZ189" s="1362"/>
      <c r="NTA189" s="955"/>
      <c r="NTB189" s="963"/>
      <c r="NTC189" s="2242"/>
      <c r="NTD189" s="1360"/>
      <c r="NTE189" s="1360"/>
      <c r="NTF189" s="1360"/>
      <c r="NTG189" s="1360"/>
      <c r="NTH189" s="1362"/>
      <c r="NTI189" s="955"/>
      <c r="NTJ189" s="963"/>
      <c r="NTK189" s="2242"/>
      <c r="NTL189" s="1360"/>
      <c r="NTM189" s="1360"/>
      <c r="NTN189" s="1360"/>
      <c r="NTO189" s="1360"/>
      <c r="NTP189" s="1362"/>
      <c r="NTQ189" s="955"/>
      <c r="NTR189" s="963"/>
      <c r="NTS189" s="2242"/>
      <c r="NTT189" s="1360"/>
      <c r="NTU189" s="1360"/>
      <c r="NTV189" s="1360"/>
      <c r="NTW189" s="1360"/>
      <c r="NTX189" s="1362"/>
      <c r="NTY189" s="955"/>
      <c r="NTZ189" s="963"/>
      <c r="NUA189" s="2242"/>
      <c r="NUB189" s="1360"/>
      <c r="NUC189" s="1360"/>
      <c r="NUD189" s="1360"/>
      <c r="NUE189" s="1360"/>
      <c r="NUF189" s="1362"/>
      <c r="NUG189" s="955"/>
      <c r="NUH189" s="963"/>
      <c r="NUI189" s="2242"/>
      <c r="NUJ189" s="1360"/>
      <c r="NUK189" s="1360"/>
      <c r="NUL189" s="1360"/>
      <c r="NUM189" s="1360"/>
      <c r="NUN189" s="1362"/>
      <c r="NUO189" s="955"/>
      <c r="NUP189" s="963"/>
      <c r="NUQ189" s="2242"/>
      <c r="NUR189" s="1360"/>
      <c r="NUS189" s="1360"/>
      <c r="NUT189" s="1360"/>
      <c r="NUU189" s="1360"/>
      <c r="NUV189" s="1362"/>
      <c r="NUW189" s="955"/>
      <c r="NUX189" s="963"/>
      <c r="NUY189" s="2242"/>
      <c r="NUZ189" s="1360"/>
      <c r="NVA189" s="1360"/>
      <c r="NVB189" s="1360"/>
      <c r="NVC189" s="1360"/>
      <c r="NVD189" s="1362"/>
      <c r="NVE189" s="955"/>
      <c r="NVF189" s="963"/>
      <c r="NVG189" s="2242"/>
      <c r="NVH189" s="1360"/>
      <c r="NVI189" s="1360"/>
      <c r="NVJ189" s="1360"/>
      <c r="NVK189" s="1360"/>
      <c r="NVL189" s="1362"/>
      <c r="NVM189" s="955"/>
      <c r="NVN189" s="963"/>
      <c r="NVO189" s="2242"/>
      <c r="NVP189" s="1360"/>
      <c r="NVQ189" s="1360"/>
      <c r="NVR189" s="1360"/>
      <c r="NVS189" s="1360"/>
      <c r="NVT189" s="1362"/>
      <c r="NVU189" s="955"/>
      <c r="NVV189" s="963"/>
      <c r="NVW189" s="2242"/>
      <c r="NVX189" s="1360"/>
      <c r="NVY189" s="1360"/>
      <c r="NVZ189" s="1360"/>
      <c r="NWA189" s="1360"/>
      <c r="NWB189" s="1362"/>
      <c r="NWC189" s="955"/>
      <c r="NWD189" s="963"/>
      <c r="NWE189" s="2242"/>
      <c r="NWF189" s="1360"/>
      <c r="NWG189" s="1360"/>
      <c r="NWH189" s="1360"/>
      <c r="NWI189" s="1360"/>
      <c r="NWJ189" s="1362"/>
      <c r="NWK189" s="955"/>
      <c r="NWL189" s="963"/>
      <c r="NWM189" s="2242"/>
      <c r="NWN189" s="1360"/>
      <c r="NWO189" s="1360"/>
      <c r="NWP189" s="1360"/>
      <c r="NWQ189" s="1360"/>
      <c r="NWR189" s="1362"/>
      <c r="NWS189" s="955"/>
      <c r="NWT189" s="963"/>
      <c r="NWU189" s="2242"/>
      <c r="NWV189" s="1360"/>
      <c r="NWW189" s="1360"/>
      <c r="NWX189" s="1360"/>
      <c r="NWY189" s="1360"/>
      <c r="NWZ189" s="1362"/>
      <c r="NXA189" s="955"/>
      <c r="NXB189" s="963"/>
      <c r="NXC189" s="2242"/>
      <c r="NXD189" s="1360"/>
      <c r="NXE189" s="1360"/>
      <c r="NXF189" s="1360"/>
      <c r="NXG189" s="1360"/>
      <c r="NXH189" s="1362"/>
      <c r="NXI189" s="955"/>
      <c r="NXJ189" s="963"/>
      <c r="NXK189" s="2242"/>
      <c r="NXL189" s="1360"/>
      <c r="NXM189" s="1360"/>
      <c r="NXN189" s="1360"/>
      <c r="NXO189" s="1360"/>
      <c r="NXP189" s="1362"/>
      <c r="NXQ189" s="955"/>
      <c r="NXR189" s="963"/>
      <c r="NXS189" s="2242"/>
      <c r="NXT189" s="1360"/>
      <c r="NXU189" s="1360"/>
      <c r="NXV189" s="1360"/>
      <c r="NXW189" s="1360"/>
      <c r="NXX189" s="1362"/>
      <c r="NXY189" s="955"/>
      <c r="NXZ189" s="963"/>
      <c r="NYA189" s="2242"/>
      <c r="NYB189" s="1360"/>
      <c r="NYC189" s="1360"/>
      <c r="NYD189" s="1360"/>
      <c r="NYE189" s="1360"/>
      <c r="NYF189" s="1362"/>
      <c r="NYG189" s="955"/>
      <c r="NYH189" s="963"/>
      <c r="NYI189" s="2242"/>
      <c r="NYJ189" s="1360"/>
      <c r="NYK189" s="1360"/>
      <c r="NYL189" s="1360"/>
      <c r="NYM189" s="1360"/>
      <c r="NYN189" s="1362"/>
      <c r="NYO189" s="955"/>
      <c r="NYP189" s="963"/>
      <c r="NYQ189" s="2242"/>
      <c r="NYR189" s="1360"/>
      <c r="NYS189" s="1360"/>
      <c r="NYT189" s="1360"/>
      <c r="NYU189" s="1360"/>
      <c r="NYV189" s="1362"/>
      <c r="NYW189" s="955"/>
      <c r="NYX189" s="963"/>
      <c r="NYY189" s="2242"/>
      <c r="NYZ189" s="1360"/>
      <c r="NZA189" s="1360"/>
      <c r="NZB189" s="1360"/>
      <c r="NZC189" s="1360"/>
      <c r="NZD189" s="1362"/>
      <c r="NZE189" s="955"/>
      <c r="NZF189" s="963"/>
      <c r="NZG189" s="2242"/>
      <c r="NZH189" s="1360"/>
      <c r="NZI189" s="1360"/>
      <c r="NZJ189" s="1360"/>
      <c r="NZK189" s="1360"/>
      <c r="NZL189" s="1362"/>
      <c r="NZM189" s="955"/>
      <c r="NZN189" s="963"/>
      <c r="NZO189" s="2242"/>
      <c r="NZP189" s="1360"/>
      <c r="NZQ189" s="1360"/>
      <c r="NZR189" s="1360"/>
      <c r="NZS189" s="1360"/>
      <c r="NZT189" s="1362"/>
      <c r="NZU189" s="955"/>
      <c r="NZV189" s="963"/>
      <c r="NZW189" s="2242"/>
      <c r="NZX189" s="1360"/>
      <c r="NZY189" s="1360"/>
      <c r="NZZ189" s="1360"/>
      <c r="OAA189" s="1360"/>
      <c r="OAB189" s="1362"/>
      <c r="OAC189" s="955"/>
      <c r="OAD189" s="963"/>
      <c r="OAE189" s="2242"/>
      <c r="OAF189" s="1360"/>
      <c r="OAG189" s="1360"/>
      <c r="OAH189" s="1360"/>
      <c r="OAI189" s="1360"/>
      <c r="OAJ189" s="1362"/>
      <c r="OAK189" s="955"/>
      <c r="OAL189" s="963"/>
      <c r="OAM189" s="2242"/>
      <c r="OAN189" s="1360"/>
      <c r="OAO189" s="1360"/>
      <c r="OAP189" s="1360"/>
      <c r="OAQ189" s="1360"/>
      <c r="OAR189" s="1362"/>
      <c r="OAS189" s="955"/>
      <c r="OAT189" s="963"/>
      <c r="OAU189" s="2242"/>
      <c r="OAV189" s="1360"/>
      <c r="OAW189" s="1360"/>
      <c r="OAX189" s="1360"/>
      <c r="OAY189" s="1360"/>
      <c r="OAZ189" s="1362"/>
      <c r="OBA189" s="955"/>
      <c r="OBB189" s="963"/>
      <c r="OBC189" s="2242"/>
      <c r="OBD189" s="1360"/>
      <c r="OBE189" s="1360"/>
      <c r="OBF189" s="1360"/>
      <c r="OBG189" s="1360"/>
      <c r="OBH189" s="1362"/>
      <c r="OBI189" s="955"/>
      <c r="OBJ189" s="963"/>
      <c r="OBK189" s="2242"/>
      <c r="OBL189" s="1360"/>
      <c r="OBM189" s="1360"/>
      <c r="OBN189" s="1360"/>
      <c r="OBO189" s="1360"/>
      <c r="OBP189" s="1362"/>
      <c r="OBQ189" s="955"/>
      <c r="OBR189" s="963"/>
      <c r="OBS189" s="2242"/>
      <c r="OBT189" s="1360"/>
      <c r="OBU189" s="1360"/>
      <c r="OBV189" s="1360"/>
      <c r="OBW189" s="1360"/>
      <c r="OBX189" s="1362"/>
      <c r="OBY189" s="955"/>
      <c r="OBZ189" s="963"/>
      <c r="OCA189" s="2242"/>
      <c r="OCB189" s="1360"/>
      <c r="OCC189" s="1360"/>
      <c r="OCD189" s="1360"/>
      <c r="OCE189" s="1360"/>
      <c r="OCF189" s="1362"/>
      <c r="OCG189" s="955"/>
      <c r="OCH189" s="963"/>
      <c r="OCI189" s="2242"/>
      <c r="OCJ189" s="1360"/>
      <c r="OCK189" s="1360"/>
      <c r="OCL189" s="1360"/>
      <c r="OCM189" s="1360"/>
      <c r="OCN189" s="1362"/>
      <c r="OCO189" s="955"/>
      <c r="OCP189" s="963"/>
      <c r="OCQ189" s="2242"/>
      <c r="OCR189" s="1360"/>
      <c r="OCS189" s="1360"/>
      <c r="OCT189" s="1360"/>
      <c r="OCU189" s="1360"/>
      <c r="OCV189" s="1362"/>
      <c r="OCW189" s="955"/>
      <c r="OCX189" s="963"/>
      <c r="OCY189" s="2242"/>
      <c r="OCZ189" s="1360"/>
      <c r="ODA189" s="1360"/>
      <c r="ODB189" s="1360"/>
      <c r="ODC189" s="1360"/>
      <c r="ODD189" s="1362"/>
      <c r="ODE189" s="955"/>
      <c r="ODF189" s="963"/>
      <c r="ODG189" s="2242"/>
      <c r="ODH189" s="1360"/>
      <c r="ODI189" s="1360"/>
      <c r="ODJ189" s="1360"/>
      <c r="ODK189" s="1360"/>
      <c r="ODL189" s="1362"/>
      <c r="ODM189" s="955"/>
      <c r="ODN189" s="963"/>
      <c r="ODO189" s="2242"/>
      <c r="ODP189" s="1360"/>
      <c r="ODQ189" s="1360"/>
      <c r="ODR189" s="1360"/>
      <c r="ODS189" s="1360"/>
      <c r="ODT189" s="1362"/>
      <c r="ODU189" s="955"/>
      <c r="ODV189" s="963"/>
      <c r="ODW189" s="2242"/>
      <c r="ODX189" s="1360"/>
      <c r="ODY189" s="1360"/>
      <c r="ODZ189" s="1360"/>
      <c r="OEA189" s="1360"/>
      <c r="OEB189" s="1362"/>
      <c r="OEC189" s="955"/>
      <c r="OED189" s="963"/>
      <c r="OEE189" s="2242"/>
      <c r="OEF189" s="1360"/>
      <c r="OEG189" s="1360"/>
      <c r="OEH189" s="1360"/>
      <c r="OEI189" s="1360"/>
      <c r="OEJ189" s="1362"/>
      <c r="OEK189" s="955"/>
      <c r="OEL189" s="963"/>
      <c r="OEM189" s="2242"/>
      <c r="OEN189" s="1360"/>
      <c r="OEO189" s="1360"/>
      <c r="OEP189" s="1360"/>
      <c r="OEQ189" s="1360"/>
      <c r="OER189" s="1362"/>
      <c r="OES189" s="955"/>
      <c r="OET189" s="963"/>
      <c r="OEU189" s="2242"/>
      <c r="OEV189" s="1360"/>
      <c r="OEW189" s="1360"/>
      <c r="OEX189" s="1360"/>
      <c r="OEY189" s="1360"/>
      <c r="OEZ189" s="1362"/>
      <c r="OFA189" s="955"/>
      <c r="OFB189" s="963"/>
      <c r="OFC189" s="2242"/>
      <c r="OFD189" s="1360"/>
      <c r="OFE189" s="1360"/>
      <c r="OFF189" s="1360"/>
      <c r="OFG189" s="1360"/>
      <c r="OFH189" s="1362"/>
      <c r="OFI189" s="955"/>
      <c r="OFJ189" s="963"/>
      <c r="OFK189" s="2242"/>
      <c r="OFL189" s="1360"/>
      <c r="OFM189" s="1360"/>
      <c r="OFN189" s="1360"/>
      <c r="OFO189" s="1360"/>
      <c r="OFP189" s="1362"/>
      <c r="OFQ189" s="955"/>
      <c r="OFR189" s="963"/>
      <c r="OFS189" s="2242"/>
      <c r="OFT189" s="1360"/>
      <c r="OFU189" s="1360"/>
      <c r="OFV189" s="1360"/>
      <c r="OFW189" s="1360"/>
      <c r="OFX189" s="1362"/>
      <c r="OFY189" s="955"/>
      <c r="OFZ189" s="963"/>
      <c r="OGA189" s="2242"/>
      <c r="OGB189" s="1360"/>
      <c r="OGC189" s="1360"/>
      <c r="OGD189" s="1360"/>
      <c r="OGE189" s="1360"/>
      <c r="OGF189" s="1362"/>
      <c r="OGG189" s="955"/>
      <c r="OGH189" s="963"/>
      <c r="OGI189" s="2242"/>
      <c r="OGJ189" s="1360"/>
      <c r="OGK189" s="1360"/>
      <c r="OGL189" s="1360"/>
      <c r="OGM189" s="1360"/>
      <c r="OGN189" s="1362"/>
      <c r="OGO189" s="955"/>
      <c r="OGP189" s="963"/>
      <c r="OGQ189" s="2242"/>
      <c r="OGR189" s="1360"/>
      <c r="OGS189" s="1360"/>
      <c r="OGT189" s="1360"/>
      <c r="OGU189" s="1360"/>
      <c r="OGV189" s="1362"/>
      <c r="OGW189" s="955"/>
      <c r="OGX189" s="963"/>
      <c r="OGY189" s="2242"/>
      <c r="OGZ189" s="1360"/>
      <c r="OHA189" s="1360"/>
      <c r="OHB189" s="1360"/>
      <c r="OHC189" s="1360"/>
      <c r="OHD189" s="1362"/>
      <c r="OHE189" s="955"/>
      <c r="OHF189" s="963"/>
      <c r="OHG189" s="2242"/>
      <c r="OHH189" s="1360"/>
      <c r="OHI189" s="1360"/>
      <c r="OHJ189" s="1360"/>
      <c r="OHK189" s="1360"/>
      <c r="OHL189" s="1362"/>
      <c r="OHM189" s="955"/>
      <c r="OHN189" s="963"/>
      <c r="OHO189" s="2242"/>
      <c r="OHP189" s="1360"/>
      <c r="OHQ189" s="1360"/>
      <c r="OHR189" s="1360"/>
      <c r="OHS189" s="1360"/>
      <c r="OHT189" s="1362"/>
      <c r="OHU189" s="955"/>
      <c r="OHV189" s="963"/>
      <c r="OHW189" s="2242"/>
      <c r="OHX189" s="1360"/>
      <c r="OHY189" s="1360"/>
      <c r="OHZ189" s="1360"/>
      <c r="OIA189" s="1360"/>
      <c r="OIB189" s="1362"/>
      <c r="OIC189" s="955"/>
      <c r="OID189" s="963"/>
      <c r="OIE189" s="2242"/>
      <c r="OIF189" s="1360"/>
      <c r="OIG189" s="1360"/>
      <c r="OIH189" s="1360"/>
      <c r="OII189" s="1360"/>
      <c r="OIJ189" s="1362"/>
      <c r="OIK189" s="955"/>
      <c r="OIL189" s="963"/>
      <c r="OIM189" s="2242"/>
      <c r="OIN189" s="1360"/>
      <c r="OIO189" s="1360"/>
      <c r="OIP189" s="1360"/>
      <c r="OIQ189" s="1360"/>
      <c r="OIR189" s="1362"/>
      <c r="OIS189" s="955"/>
      <c r="OIT189" s="963"/>
      <c r="OIU189" s="2242"/>
      <c r="OIV189" s="1360"/>
      <c r="OIW189" s="1360"/>
      <c r="OIX189" s="1360"/>
      <c r="OIY189" s="1360"/>
      <c r="OIZ189" s="1362"/>
      <c r="OJA189" s="955"/>
      <c r="OJB189" s="963"/>
      <c r="OJC189" s="2242"/>
      <c r="OJD189" s="1360"/>
      <c r="OJE189" s="1360"/>
      <c r="OJF189" s="1360"/>
      <c r="OJG189" s="1360"/>
      <c r="OJH189" s="1362"/>
      <c r="OJI189" s="955"/>
      <c r="OJJ189" s="963"/>
      <c r="OJK189" s="2242"/>
      <c r="OJL189" s="1360"/>
      <c r="OJM189" s="1360"/>
      <c r="OJN189" s="1360"/>
      <c r="OJO189" s="1360"/>
      <c r="OJP189" s="1362"/>
      <c r="OJQ189" s="955"/>
      <c r="OJR189" s="963"/>
      <c r="OJS189" s="2242"/>
      <c r="OJT189" s="1360"/>
      <c r="OJU189" s="1360"/>
      <c r="OJV189" s="1360"/>
      <c r="OJW189" s="1360"/>
      <c r="OJX189" s="1362"/>
      <c r="OJY189" s="955"/>
      <c r="OJZ189" s="963"/>
      <c r="OKA189" s="2242"/>
      <c r="OKB189" s="1360"/>
      <c r="OKC189" s="1360"/>
      <c r="OKD189" s="1360"/>
      <c r="OKE189" s="1360"/>
      <c r="OKF189" s="1362"/>
      <c r="OKG189" s="955"/>
      <c r="OKH189" s="963"/>
      <c r="OKI189" s="2242"/>
      <c r="OKJ189" s="1360"/>
      <c r="OKK189" s="1360"/>
      <c r="OKL189" s="1360"/>
      <c r="OKM189" s="1360"/>
      <c r="OKN189" s="1362"/>
      <c r="OKO189" s="955"/>
      <c r="OKP189" s="963"/>
      <c r="OKQ189" s="2242"/>
      <c r="OKR189" s="1360"/>
      <c r="OKS189" s="1360"/>
      <c r="OKT189" s="1360"/>
      <c r="OKU189" s="1360"/>
      <c r="OKV189" s="1362"/>
      <c r="OKW189" s="955"/>
      <c r="OKX189" s="963"/>
      <c r="OKY189" s="2242"/>
      <c r="OKZ189" s="1360"/>
      <c r="OLA189" s="1360"/>
      <c r="OLB189" s="1360"/>
      <c r="OLC189" s="1360"/>
      <c r="OLD189" s="1362"/>
      <c r="OLE189" s="955"/>
      <c r="OLF189" s="963"/>
      <c r="OLG189" s="2242"/>
      <c r="OLH189" s="1360"/>
      <c r="OLI189" s="1360"/>
      <c r="OLJ189" s="1360"/>
      <c r="OLK189" s="1360"/>
      <c r="OLL189" s="1362"/>
      <c r="OLM189" s="955"/>
      <c r="OLN189" s="963"/>
      <c r="OLO189" s="2242"/>
      <c r="OLP189" s="1360"/>
      <c r="OLQ189" s="1360"/>
      <c r="OLR189" s="1360"/>
      <c r="OLS189" s="1360"/>
      <c r="OLT189" s="1362"/>
      <c r="OLU189" s="955"/>
      <c r="OLV189" s="963"/>
      <c r="OLW189" s="2242"/>
      <c r="OLX189" s="1360"/>
      <c r="OLY189" s="1360"/>
      <c r="OLZ189" s="1360"/>
      <c r="OMA189" s="1360"/>
      <c r="OMB189" s="1362"/>
      <c r="OMC189" s="955"/>
      <c r="OMD189" s="963"/>
      <c r="OME189" s="2242"/>
      <c r="OMF189" s="1360"/>
      <c r="OMG189" s="1360"/>
      <c r="OMH189" s="1360"/>
      <c r="OMI189" s="1360"/>
      <c r="OMJ189" s="1362"/>
      <c r="OMK189" s="955"/>
      <c r="OML189" s="963"/>
      <c r="OMM189" s="2242"/>
      <c r="OMN189" s="1360"/>
      <c r="OMO189" s="1360"/>
      <c r="OMP189" s="1360"/>
      <c r="OMQ189" s="1360"/>
      <c r="OMR189" s="1362"/>
      <c r="OMS189" s="955"/>
      <c r="OMT189" s="963"/>
      <c r="OMU189" s="2242"/>
      <c r="OMV189" s="1360"/>
      <c r="OMW189" s="1360"/>
      <c r="OMX189" s="1360"/>
      <c r="OMY189" s="1360"/>
      <c r="OMZ189" s="1362"/>
      <c r="ONA189" s="955"/>
      <c r="ONB189" s="963"/>
      <c r="ONC189" s="2242"/>
      <c r="OND189" s="1360"/>
      <c r="ONE189" s="1360"/>
      <c r="ONF189" s="1360"/>
      <c r="ONG189" s="1360"/>
      <c r="ONH189" s="1362"/>
      <c r="ONI189" s="955"/>
      <c r="ONJ189" s="963"/>
      <c r="ONK189" s="2242"/>
      <c r="ONL189" s="1360"/>
      <c r="ONM189" s="1360"/>
      <c r="ONN189" s="1360"/>
      <c r="ONO189" s="1360"/>
      <c r="ONP189" s="1362"/>
      <c r="ONQ189" s="955"/>
      <c r="ONR189" s="963"/>
      <c r="ONS189" s="2242"/>
      <c r="ONT189" s="1360"/>
      <c r="ONU189" s="1360"/>
      <c r="ONV189" s="1360"/>
      <c r="ONW189" s="1360"/>
      <c r="ONX189" s="1362"/>
      <c r="ONY189" s="955"/>
      <c r="ONZ189" s="963"/>
      <c r="OOA189" s="2242"/>
      <c r="OOB189" s="1360"/>
      <c r="OOC189" s="1360"/>
      <c r="OOD189" s="1360"/>
      <c r="OOE189" s="1360"/>
      <c r="OOF189" s="1362"/>
      <c r="OOG189" s="955"/>
      <c r="OOH189" s="963"/>
      <c r="OOI189" s="2242"/>
      <c r="OOJ189" s="1360"/>
      <c r="OOK189" s="1360"/>
      <c r="OOL189" s="1360"/>
      <c r="OOM189" s="1360"/>
      <c r="OON189" s="1362"/>
      <c r="OOO189" s="955"/>
      <c r="OOP189" s="963"/>
      <c r="OOQ189" s="2242"/>
      <c r="OOR189" s="1360"/>
      <c r="OOS189" s="1360"/>
      <c r="OOT189" s="1360"/>
      <c r="OOU189" s="1360"/>
      <c r="OOV189" s="1362"/>
      <c r="OOW189" s="955"/>
      <c r="OOX189" s="963"/>
      <c r="OOY189" s="2242"/>
      <c r="OOZ189" s="1360"/>
      <c r="OPA189" s="1360"/>
      <c r="OPB189" s="1360"/>
      <c r="OPC189" s="1360"/>
      <c r="OPD189" s="1362"/>
      <c r="OPE189" s="955"/>
      <c r="OPF189" s="963"/>
      <c r="OPG189" s="2242"/>
      <c r="OPH189" s="1360"/>
      <c r="OPI189" s="1360"/>
      <c r="OPJ189" s="1360"/>
      <c r="OPK189" s="1360"/>
      <c r="OPL189" s="1362"/>
      <c r="OPM189" s="955"/>
      <c r="OPN189" s="963"/>
      <c r="OPO189" s="2242"/>
      <c r="OPP189" s="1360"/>
      <c r="OPQ189" s="1360"/>
      <c r="OPR189" s="1360"/>
      <c r="OPS189" s="1360"/>
      <c r="OPT189" s="1362"/>
      <c r="OPU189" s="955"/>
      <c r="OPV189" s="963"/>
      <c r="OPW189" s="2242"/>
      <c r="OPX189" s="1360"/>
      <c r="OPY189" s="1360"/>
      <c r="OPZ189" s="1360"/>
      <c r="OQA189" s="1360"/>
      <c r="OQB189" s="1362"/>
      <c r="OQC189" s="955"/>
      <c r="OQD189" s="963"/>
      <c r="OQE189" s="2242"/>
      <c r="OQF189" s="1360"/>
      <c r="OQG189" s="1360"/>
      <c r="OQH189" s="1360"/>
      <c r="OQI189" s="1360"/>
      <c r="OQJ189" s="1362"/>
      <c r="OQK189" s="955"/>
      <c r="OQL189" s="963"/>
      <c r="OQM189" s="2242"/>
      <c r="OQN189" s="1360"/>
      <c r="OQO189" s="1360"/>
      <c r="OQP189" s="1360"/>
      <c r="OQQ189" s="1360"/>
      <c r="OQR189" s="1362"/>
      <c r="OQS189" s="955"/>
      <c r="OQT189" s="963"/>
      <c r="OQU189" s="2242"/>
      <c r="OQV189" s="1360"/>
      <c r="OQW189" s="1360"/>
      <c r="OQX189" s="1360"/>
      <c r="OQY189" s="1360"/>
      <c r="OQZ189" s="1362"/>
      <c r="ORA189" s="955"/>
      <c r="ORB189" s="963"/>
      <c r="ORC189" s="2242"/>
      <c r="ORD189" s="1360"/>
      <c r="ORE189" s="1360"/>
      <c r="ORF189" s="1360"/>
      <c r="ORG189" s="1360"/>
      <c r="ORH189" s="1362"/>
      <c r="ORI189" s="955"/>
      <c r="ORJ189" s="963"/>
      <c r="ORK189" s="2242"/>
      <c r="ORL189" s="1360"/>
      <c r="ORM189" s="1360"/>
      <c r="ORN189" s="1360"/>
      <c r="ORO189" s="1360"/>
      <c r="ORP189" s="1362"/>
      <c r="ORQ189" s="955"/>
      <c r="ORR189" s="963"/>
      <c r="ORS189" s="2242"/>
      <c r="ORT189" s="1360"/>
      <c r="ORU189" s="1360"/>
      <c r="ORV189" s="1360"/>
      <c r="ORW189" s="1360"/>
      <c r="ORX189" s="1362"/>
      <c r="ORY189" s="955"/>
      <c r="ORZ189" s="963"/>
      <c r="OSA189" s="2242"/>
      <c r="OSB189" s="1360"/>
      <c r="OSC189" s="1360"/>
      <c r="OSD189" s="1360"/>
      <c r="OSE189" s="1360"/>
      <c r="OSF189" s="1362"/>
      <c r="OSG189" s="955"/>
      <c r="OSH189" s="963"/>
      <c r="OSI189" s="2242"/>
      <c r="OSJ189" s="1360"/>
      <c r="OSK189" s="1360"/>
      <c r="OSL189" s="1360"/>
      <c r="OSM189" s="1360"/>
      <c r="OSN189" s="1362"/>
      <c r="OSO189" s="955"/>
      <c r="OSP189" s="963"/>
      <c r="OSQ189" s="2242"/>
      <c r="OSR189" s="1360"/>
      <c r="OSS189" s="1360"/>
      <c r="OST189" s="1360"/>
      <c r="OSU189" s="1360"/>
      <c r="OSV189" s="1362"/>
      <c r="OSW189" s="955"/>
      <c r="OSX189" s="963"/>
      <c r="OSY189" s="2242"/>
      <c r="OSZ189" s="1360"/>
      <c r="OTA189" s="1360"/>
      <c r="OTB189" s="1360"/>
      <c r="OTC189" s="1360"/>
      <c r="OTD189" s="1362"/>
      <c r="OTE189" s="955"/>
      <c r="OTF189" s="963"/>
      <c r="OTG189" s="2242"/>
      <c r="OTH189" s="1360"/>
      <c r="OTI189" s="1360"/>
      <c r="OTJ189" s="1360"/>
      <c r="OTK189" s="1360"/>
      <c r="OTL189" s="1362"/>
      <c r="OTM189" s="955"/>
      <c r="OTN189" s="963"/>
      <c r="OTO189" s="2242"/>
      <c r="OTP189" s="1360"/>
      <c r="OTQ189" s="1360"/>
      <c r="OTR189" s="1360"/>
      <c r="OTS189" s="1360"/>
      <c r="OTT189" s="1362"/>
      <c r="OTU189" s="955"/>
      <c r="OTV189" s="963"/>
      <c r="OTW189" s="2242"/>
      <c r="OTX189" s="1360"/>
      <c r="OTY189" s="1360"/>
      <c r="OTZ189" s="1360"/>
      <c r="OUA189" s="1360"/>
      <c r="OUB189" s="1362"/>
      <c r="OUC189" s="955"/>
      <c r="OUD189" s="963"/>
      <c r="OUE189" s="2242"/>
      <c r="OUF189" s="1360"/>
      <c r="OUG189" s="1360"/>
      <c r="OUH189" s="1360"/>
      <c r="OUI189" s="1360"/>
      <c r="OUJ189" s="1362"/>
      <c r="OUK189" s="955"/>
      <c r="OUL189" s="963"/>
      <c r="OUM189" s="2242"/>
      <c r="OUN189" s="1360"/>
      <c r="OUO189" s="1360"/>
      <c r="OUP189" s="1360"/>
      <c r="OUQ189" s="1360"/>
      <c r="OUR189" s="1362"/>
      <c r="OUS189" s="955"/>
      <c r="OUT189" s="963"/>
      <c r="OUU189" s="2242"/>
      <c r="OUV189" s="1360"/>
      <c r="OUW189" s="1360"/>
      <c r="OUX189" s="1360"/>
      <c r="OUY189" s="1360"/>
      <c r="OUZ189" s="1362"/>
      <c r="OVA189" s="955"/>
      <c r="OVB189" s="963"/>
      <c r="OVC189" s="2242"/>
      <c r="OVD189" s="1360"/>
      <c r="OVE189" s="1360"/>
      <c r="OVF189" s="1360"/>
      <c r="OVG189" s="1360"/>
      <c r="OVH189" s="1362"/>
      <c r="OVI189" s="955"/>
      <c r="OVJ189" s="963"/>
      <c r="OVK189" s="2242"/>
      <c r="OVL189" s="1360"/>
      <c r="OVM189" s="1360"/>
      <c r="OVN189" s="1360"/>
      <c r="OVO189" s="1360"/>
      <c r="OVP189" s="1362"/>
      <c r="OVQ189" s="955"/>
      <c r="OVR189" s="963"/>
      <c r="OVS189" s="2242"/>
      <c r="OVT189" s="1360"/>
      <c r="OVU189" s="1360"/>
      <c r="OVV189" s="1360"/>
      <c r="OVW189" s="1360"/>
      <c r="OVX189" s="1362"/>
      <c r="OVY189" s="955"/>
      <c r="OVZ189" s="963"/>
      <c r="OWA189" s="2242"/>
      <c r="OWB189" s="1360"/>
      <c r="OWC189" s="1360"/>
      <c r="OWD189" s="1360"/>
      <c r="OWE189" s="1360"/>
      <c r="OWF189" s="1362"/>
      <c r="OWG189" s="955"/>
      <c r="OWH189" s="963"/>
      <c r="OWI189" s="2242"/>
      <c r="OWJ189" s="1360"/>
      <c r="OWK189" s="1360"/>
      <c r="OWL189" s="1360"/>
      <c r="OWM189" s="1360"/>
      <c r="OWN189" s="1362"/>
      <c r="OWO189" s="955"/>
      <c r="OWP189" s="963"/>
      <c r="OWQ189" s="2242"/>
      <c r="OWR189" s="1360"/>
      <c r="OWS189" s="1360"/>
      <c r="OWT189" s="1360"/>
      <c r="OWU189" s="1360"/>
      <c r="OWV189" s="1362"/>
      <c r="OWW189" s="955"/>
      <c r="OWX189" s="963"/>
      <c r="OWY189" s="2242"/>
      <c r="OWZ189" s="1360"/>
      <c r="OXA189" s="1360"/>
      <c r="OXB189" s="1360"/>
      <c r="OXC189" s="1360"/>
      <c r="OXD189" s="1362"/>
      <c r="OXE189" s="955"/>
      <c r="OXF189" s="963"/>
      <c r="OXG189" s="2242"/>
      <c r="OXH189" s="1360"/>
      <c r="OXI189" s="1360"/>
      <c r="OXJ189" s="1360"/>
      <c r="OXK189" s="1360"/>
      <c r="OXL189" s="1362"/>
      <c r="OXM189" s="955"/>
      <c r="OXN189" s="963"/>
      <c r="OXO189" s="2242"/>
      <c r="OXP189" s="1360"/>
      <c r="OXQ189" s="1360"/>
      <c r="OXR189" s="1360"/>
      <c r="OXS189" s="1360"/>
      <c r="OXT189" s="1362"/>
      <c r="OXU189" s="955"/>
      <c r="OXV189" s="963"/>
      <c r="OXW189" s="2242"/>
      <c r="OXX189" s="1360"/>
      <c r="OXY189" s="1360"/>
      <c r="OXZ189" s="1360"/>
      <c r="OYA189" s="1360"/>
      <c r="OYB189" s="1362"/>
      <c r="OYC189" s="955"/>
      <c r="OYD189" s="963"/>
      <c r="OYE189" s="2242"/>
      <c r="OYF189" s="1360"/>
      <c r="OYG189" s="1360"/>
      <c r="OYH189" s="1360"/>
      <c r="OYI189" s="1360"/>
      <c r="OYJ189" s="1362"/>
      <c r="OYK189" s="955"/>
      <c r="OYL189" s="963"/>
      <c r="OYM189" s="2242"/>
      <c r="OYN189" s="1360"/>
      <c r="OYO189" s="1360"/>
      <c r="OYP189" s="1360"/>
      <c r="OYQ189" s="1360"/>
      <c r="OYR189" s="1362"/>
      <c r="OYS189" s="955"/>
      <c r="OYT189" s="963"/>
      <c r="OYU189" s="2242"/>
      <c r="OYV189" s="1360"/>
      <c r="OYW189" s="1360"/>
      <c r="OYX189" s="1360"/>
      <c r="OYY189" s="1360"/>
      <c r="OYZ189" s="1362"/>
      <c r="OZA189" s="955"/>
      <c r="OZB189" s="963"/>
      <c r="OZC189" s="2242"/>
      <c r="OZD189" s="1360"/>
      <c r="OZE189" s="1360"/>
      <c r="OZF189" s="1360"/>
      <c r="OZG189" s="1360"/>
      <c r="OZH189" s="1362"/>
      <c r="OZI189" s="955"/>
      <c r="OZJ189" s="963"/>
      <c r="OZK189" s="2242"/>
      <c r="OZL189" s="1360"/>
      <c r="OZM189" s="1360"/>
      <c r="OZN189" s="1360"/>
      <c r="OZO189" s="1360"/>
      <c r="OZP189" s="1362"/>
      <c r="OZQ189" s="955"/>
      <c r="OZR189" s="963"/>
      <c r="OZS189" s="2242"/>
      <c r="OZT189" s="1360"/>
      <c r="OZU189" s="1360"/>
      <c r="OZV189" s="1360"/>
      <c r="OZW189" s="1360"/>
      <c r="OZX189" s="1362"/>
      <c r="OZY189" s="955"/>
      <c r="OZZ189" s="963"/>
      <c r="PAA189" s="2242"/>
      <c r="PAB189" s="1360"/>
      <c r="PAC189" s="1360"/>
      <c r="PAD189" s="1360"/>
      <c r="PAE189" s="1360"/>
      <c r="PAF189" s="1362"/>
      <c r="PAG189" s="955"/>
      <c r="PAH189" s="963"/>
      <c r="PAI189" s="2242"/>
      <c r="PAJ189" s="1360"/>
      <c r="PAK189" s="1360"/>
      <c r="PAL189" s="1360"/>
      <c r="PAM189" s="1360"/>
      <c r="PAN189" s="1362"/>
      <c r="PAO189" s="955"/>
      <c r="PAP189" s="963"/>
      <c r="PAQ189" s="2242"/>
      <c r="PAR189" s="1360"/>
      <c r="PAS189" s="1360"/>
      <c r="PAT189" s="1360"/>
      <c r="PAU189" s="1360"/>
      <c r="PAV189" s="1362"/>
      <c r="PAW189" s="955"/>
      <c r="PAX189" s="963"/>
      <c r="PAY189" s="2242"/>
      <c r="PAZ189" s="1360"/>
      <c r="PBA189" s="1360"/>
      <c r="PBB189" s="1360"/>
      <c r="PBC189" s="1360"/>
      <c r="PBD189" s="1362"/>
      <c r="PBE189" s="955"/>
      <c r="PBF189" s="963"/>
      <c r="PBG189" s="2242"/>
      <c r="PBH189" s="1360"/>
      <c r="PBI189" s="1360"/>
      <c r="PBJ189" s="1360"/>
      <c r="PBK189" s="1360"/>
      <c r="PBL189" s="1362"/>
      <c r="PBM189" s="955"/>
      <c r="PBN189" s="963"/>
      <c r="PBO189" s="2242"/>
      <c r="PBP189" s="1360"/>
      <c r="PBQ189" s="1360"/>
      <c r="PBR189" s="1360"/>
      <c r="PBS189" s="1360"/>
      <c r="PBT189" s="1362"/>
      <c r="PBU189" s="955"/>
      <c r="PBV189" s="963"/>
      <c r="PBW189" s="2242"/>
      <c r="PBX189" s="1360"/>
      <c r="PBY189" s="1360"/>
      <c r="PBZ189" s="1360"/>
      <c r="PCA189" s="1360"/>
      <c r="PCB189" s="1362"/>
      <c r="PCC189" s="955"/>
      <c r="PCD189" s="963"/>
      <c r="PCE189" s="2242"/>
      <c r="PCF189" s="1360"/>
      <c r="PCG189" s="1360"/>
      <c r="PCH189" s="1360"/>
      <c r="PCI189" s="1360"/>
      <c r="PCJ189" s="1362"/>
      <c r="PCK189" s="955"/>
      <c r="PCL189" s="963"/>
      <c r="PCM189" s="2242"/>
      <c r="PCN189" s="1360"/>
      <c r="PCO189" s="1360"/>
      <c r="PCP189" s="1360"/>
      <c r="PCQ189" s="1360"/>
      <c r="PCR189" s="1362"/>
      <c r="PCS189" s="955"/>
      <c r="PCT189" s="963"/>
      <c r="PCU189" s="2242"/>
      <c r="PCV189" s="1360"/>
      <c r="PCW189" s="1360"/>
      <c r="PCX189" s="1360"/>
      <c r="PCY189" s="1360"/>
      <c r="PCZ189" s="1362"/>
      <c r="PDA189" s="955"/>
      <c r="PDB189" s="963"/>
      <c r="PDC189" s="2242"/>
      <c r="PDD189" s="1360"/>
      <c r="PDE189" s="1360"/>
      <c r="PDF189" s="1360"/>
      <c r="PDG189" s="1360"/>
      <c r="PDH189" s="1362"/>
      <c r="PDI189" s="955"/>
      <c r="PDJ189" s="963"/>
      <c r="PDK189" s="2242"/>
      <c r="PDL189" s="1360"/>
      <c r="PDM189" s="1360"/>
      <c r="PDN189" s="1360"/>
      <c r="PDO189" s="1360"/>
      <c r="PDP189" s="1362"/>
      <c r="PDQ189" s="955"/>
      <c r="PDR189" s="963"/>
      <c r="PDS189" s="2242"/>
      <c r="PDT189" s="1360"/>
      <c r="PDU189" s="1360"/>
      <c r="PDV189" s="1360"/>
      <c r="PDW189" s="1360"/>
      <c r="PDX189" s="1362"/>
      <c r="PDY189" s="955"/>
      <c r="PDZ189" s="963"/>
      <c r="PEA189" s="2242"/>
      <c r="PEB189" s="1360"/>
      <c r="PEC189" s="1360"/>
      <c r="PED189" s="1360"/>
      <c r="PEE189" s="1360"/>
      <c r="PEF189" s="1362"/>
      <c r="PEG189" s="955"/>
      <c r="PEH189" s="963"/>
      <c r="PEI189" s="2242"/>
      <c r="PEJ189" s="1360"/>
      <c r="PEK189" s="1360"/>
      <c r="PEL189" s="1360"/>
      <c r="PEM189" s="1360"/>
      <c r="PEN189" s="1362"/>
      <c r="PEO189" s="955"/>
      <c r="PEP189" s="963"/>
      <c r="PEQ189" s="2242"/>
      <c r="PER189" s="1360"/>
      <c r="PES189" s="1360"/>
      <c r="PET189" s="1360"/>
      <c r="PEU189" s="1360"/>
      <c r="PEV189" s="1362"/>
      <c r="PEW189" s="955"/>
      <c r="PEX189" s="963"/>
      <c r="PEY189" s="2242"/>
      <c r="PEZ189" s="1360"/>
      <c r="PFA189" s="1360"/>
      <c r="PFB189" s="1360"/>
      <c r="PFC189" s="1360"/>
      <c r="PFD189" s="1362"/>
      <c r="PFE189" s="955"/>
      <c r="PFF189" s="963"/>
      <c r="PFG189" s="2242"/>
      <c r="PFH189" s="1360"/>
      <c r="PFI189" s="1360"/>
      <c r="PFJ189" s="1360"/>
      <c r="PFK189" s="1360"/>
      <c r="PFL189" s="1362"/>
      <c r="PFM189" s="955"/>
      <c r="PFN189" s="963"/>
      <c r="PFO189" s="2242"/>
      <c r="PFP189" s="1360"/>
      <c r="PFQ189" s="1360"/>
      <c r="PFR189" s="1360"/>
      <c r="PFS189" s="1360"/>
      <c r="PFT189" s="1362"/>
      <c r="PFU189" s="955"/>
      <c r="PFV189" s="963"/>
      <c r="PFW189" s="2242"/>
      <c r="PFX189" s="1360"/>
      <c r="PFY189" s="1360"/>
      <c r="PFZ189" s="1360"/>
      <c r="PGA189" s="1360"/>
      <c r="PGB189" s="1362"/>
      <c r="PGC189" s="955"/>
      <c r="PGD189" s="963"/>
      <c r="PGE189" s="2242"/>
      <c r="PGF189" s="1360"/>
      <c r="PGG189" s="1360"/>
      <c r="PGH189" s="1360"/>
      <c r="PGI189" s="1360"/>
      <c r="PGJ189" s="1362"/>
      <c r="PGK189" s="955"/>
      <c r="PGL189" s="963"/>
      <c r="PGM189" s="2242"/>
      <c r="PGN189" s="1360"/>
      <c r="PGO189" s="1360"/>
      <c r="PGP189" s="1360"/>
      <c r="PGQ189" s="1360"/>
      <c r="PGR189" s="1362"/>
      <c r="PGS189" s="955"/>
      <c r="PGT189" s="963"/>
      <c r="PGU189" s="2242"/>
      <c r="PGV189" s="1360"/>
      <c r="PGW189" s="1360"/>
      <c r="PGX189" s="1360"/>
      <c r="PGY189" s="1360"/>
      <c r="PGZ189" s="1362"/>
      <c r="PHA189" s="955"/>
      <c r="PHB189" s="963"/>
      <c r="PHC189" s="2242"/>
      <c r="PHD189" s="1360"/>
      <c r="PHE189" s="1360"/>
      <c r="PHF189" s="1360"/>
      <c r="PHG189" s="1360"/>
      <c r="PHH189" s="1362"/>
      <c r="PHI189" s="955"/>
      <c r="PHJ189" s="963"/>
      <c r="PHK189" s="2242"/>
      <c r="PHL189" s="1360"/>
      <c r="PHM189" s="1360"/>
      <c r="PHN189" s="1360"/>
      <c r="PHO189" s="1360"/>
      <c r="PHP189" s="1362"/>
      <c r="PHQ189" s="955"/>
      <c r="PHR189" s="963"/>
      <c r="PHS189" s="2242"/>
      <c r="PHT189" s="1360"/>
      <c r="PHU189" s="1360"/>
      <c r="PHV189" s="1360"/>
      <c r="PHW189" s="1360"/>
      <c r="PHX189" s="1362"/>
      <c r="PHY189" s="955"/>
      <c r="PHZ189" s="963"/>
      <c r="PIA189" s="2242"/>
      <c r="PIB189" s="1360"/>
      <c r="PIC189" s="1360"/>
      <c r="PID189" s="1360"/>
      <c r="PIE189" s="1360"/>
      <c r="PIF189" s="1362"/>
      <c r="PIG189" s="955"/>
      <c r="PIH189" s="963"/>
      <c r="PII189" s="2242"/>
      <c r="PIJ189" s="1360"/>
      <c r="PIK189" s="1360"/>
      <c r="PIL189" s="1360"/>
      <c r="PIM189" s="1360"/>
      <c r="PIN189" s="1362"/>
      <c r="PIO189" s="955"/>
      <c r="PIP189" s="963"/>
      <c r="PIQ189" s="2242"/>
      <c r="PIR189" s="1360"/>
      <c r="PIS189" s="1360"/>
      <c r="PIT189" s="1360"/>
      <c r="PIU189" s="1360"/>
      <c r="PIV189" s="1362"/>
      <c r="PIW189" s="955"/>
      <c r="PIX189" s="963"/>
      <c r="PIY189" s="2242"/>
      <c r="PIZ189" s="1360"/>
      <c r="PJA189" s="1360"/>
      <c r="PJB189" s="1360"/>
      <c r="PJC189" s="1360"/>
      <c r="PJD189" s="1362"/>
      <c r="PJE189" s="955"/>
      <c r="PJF189" s="963"/>
      <c r="PJG189" s="2242"/>
      <c r="PJH189" s="1360"/>
      <c r="PJI189" s="1360"/>
      <c r="PJJ189" s="1360"/>
      <c r="PJK189" s="1360"/>
      <c r="PJL189" s="1362"/>
      <c r="PJM189" s="955"/>
      <c r="PJN189" s="963"/>
      <c r="PJO189" s="2242"/>
      <c r="PJP189" s="1360"/>
      <c r="PJQ189" s="1360"/>
      <c r="PJR189" s="1360"/>
      <c r="PJS189" s="1360"/>
      <c r="PJT189" s="1362"/>
      <c r="PJU189" s="955"/>
      <c r="PJV189" s="963"/>
      <c r="PJW189" s="2242"/>
      <c r="PJX189" s="1360"/>
      <c r="PJY189" s="1360"/>
      <c r="PJZ189" s="1360"/>
      <c r="PKA189" s="1360"/>
      <c r="PKB189" s="1362"/>
      <c r="PKC189" s="955"/>
      <c r="PKD189" s="963"/>
      <c r="PKE189" s="2242"/>
      <c r="PKF189" s="1360"/>
      <c r="PKG189" s="1360"/>
      <c r="PKH189" s="1360"/>
      <c r="PKI189" s="1360"/>
      <c r="PKJ189" s="1362"/>
      <c r="PKK189" s="955"/>
      <c r="PKL189" s="963"/>
      <c r="PKM189" s="2242"/>
      <c r="PKN189" s="1360"/>
      <c r="PKO189" s="1360"/>
      <c r="PKP189" s="1360"/>
      <c r="PKQ189" s="1360"/>
      <c r="PKR189" s="1362"/>
      <c r="PKS189" s="955"/>
      <c r="PKT189" s="963"/>
      <c r="PKU189" s="2242"/>
      <c r="PKV189" s="1360"/>
      <c r="PKW189" s="1360"/>
      <c r="PKX189" s="1360"/>
      <c r="PKY189" s="1360"/>
      <c r="PKZ189" s="1362"/>
      <c r="PLA189" s="955"/>
      <c r="PLB189" s="963"/>
      <c r="PLC189" s="2242"/>
      <c r="PLD189" s="1360"/>
      <c r="PLE189" s="1360"/>
      <c r="PLF189" s="1360"/>
      <c r="PLG189" s="1360"/>
      <c r="PLH189" s="1362"/>
      <c r="PLI189" s="955"/>
      <c r="PLJ189" s="963"/>
      <c r="PLK189" s="2242"/>
      <c r="PLL189" s="1360"/>
      <c r="PLM189" s="1360"/>
      <c r="PLN189" s="1360"/>
      <c r="PLO189" s="1360"/>
      <c r="PLP189" s="1362"/>
      <c r="PLQ189" s="955"/>
      <c r="PLR189" s="963"/>
      <c r="PLS189" s="2242"/>
      <c r="PLT189" s="1360"/>
      <c r="PLU189" s="1360"/>
      <c r="PLV189" s="1360"/>
      <c r="PLW189" s="1360"/>
      <c r="PLX189" s="1362"/>
      <c r="PLY189" s="955"/>
      <c r="PLZ189" s="963"/>
      <c r="PMA189" s="2242"/>
      <c r="PMB189" s="1360"/>
      <c r="PMC189" s="1360"/>
      <c r="PMD189" s="1360"/>
      <c r="PME189" s="1360"/>
      <c r="PMF189" s="1362"/>
      <c r="PMG189" s="955"/>
      <c r="PMH189" s="963"/>
      <c r="PMI189" s="2242"/>
      <c r="PMJ189" s="1360"/>
      <c r="PMK189" s="1360"/>
      <c r="PML189" s="1360"/>
      <c r="PMM189" s="1360"/>
      <c r="PMN189" s="1362"/>
      <c r="PMO189" s="955"/>
      <c r="PMP189" s="963"/>
      <c r="PMQ189" s="2242"/>
      <c r="PMR189" s="1360"/>
      <c r="PMS189" s="1360"/>
      <c r="PMT189" s="1360"/>
      <c r="PMU189" s="1360"/>
      <c r="PMV189" s="1362"/>
      <c r="PMW189" s="955"/>
      <c r="PMX189" s="963"/>
      <c r="PMY189" s="2242"/>
      <c r="PMZ189" s="1360"/>
      <c r="PNA189" s="1360"/>
      <c r="PNB189" s="1360"/>
      <c r="PNC189" s="1360"/>
      <c r="PND189" s="1362"/>
      <c r="PNE189" s="955"/>
      <c r="PNF189" s="963"/>
      <c r="PNG189" s="2242"/>
      <c r="PNH189" s="1360"/>
      <c r="PNI189" s="1360"/>
      <c r="PNJ189" s="1360"/>
      <c r="PNK189" s="1360"/>
      <c r="PNL189" s="1362"/>
      <c r="PNM189" s="955"/>
      <c r="PNN189" s="963"/>
      <c r="PNO189" s="2242"/>
      <c r="PNP189" s="1360"/>
      <c r="PNQ189" s="1360"/>
      <c r="PNR189" s="1360"/>
      <c r="PNS189" s="1360"/>
      <c r="PNT189" s="1362"/>
      <c r="PNU189" s="955"/>
      <c r="PNV189" s="963"/>
      <c r="PNW189" s="2242"/>
      <c r="PNX189" s="1360"/>
      <c r="PNY189" s="1360"/>
      <c r="PNZ189" s="1360"/>
      <c r="POA189" s="1360"/>
      <c r="POB189" s="1362"/>
      <c r="POC189" s="955"/>
      <c r="POD189" s="963"/>
      <c r="POE189" s="2242"/>
      <c r="POF189" s="1360"/>
      <c r="POG189" s="1360"/>
      <c r="POH189" s="1360"/>
      <c r="POI189" s="1360"/>
      <c r="POJ189" s="1362"/>
      <c r="POK189" s="955"/>
      <c r="POL189" s="963"/>
      <c r="POM189" s="2242"/>
      <c r="PON189" s="1360"/>
      <c r="POO189" s="1360"/>
      <c r="POP189" s="1360"/>
      <c r="POQ189" s="1360"/>
      <c r="POR189" s="1362"/>
      <c r="POS189" s="955"/>
      <c r="POT189" s="963"/>
      <c r="POU189" s="2242"/>
      <c r="POV189" s="1360"/>
      <c r="POW189" s="1360"/>
      <c r="POX189" s="1360"/>
      <c r="POY189" s="1360"/>
      <c r="POZ189" s="1362"/>
      <c r="PPA189" s="955"/>
      <c r="PPB189" s="963"/>
      <c r="PPC189" s="2242"/>
      <c r="PPD189" s="1360"/>
      <c r="PPE189" s="1360"/>
      <c r="PPF189" s="1360"/>
      <c r="PPG189" s="1360"/>
      <c r="PPH189" s="1362"/>
      <c r="PPI189" s="955"/>
      <c r="PPJ189" s="963"/>
      <c r="PPK189" s="2242"/>
      <c r="PPL189" s="1360"/>
      <c r="PPM189" s="1360"/>
      <c r="PPN189" s="1360"/>
      <c r="PPO189" s="1360"/>
      <c r="PPP189" s="1362"/>
      <c r="PPQ189" s="955"/>
      <c r="PPR189" s="963"/>
      <c r="PPS189" s="2242"/>
      <c r="PPT189" s="1360"/>
      <c r="PPU189" s="1360"/>
      <c r="PPV189" s="1360"/>
      <c r="PPW189" s="1360"/>
      <c r="PPX189" s="1362"/>
      <c r="PPY189" s="955"/>
      <c r="PPZ189" s="963"/>
      <c r="PQA189" s="2242"/>
      <c r="PQB189" s="1360"/>
      <c r="PQC189" s="1360"/>
      <c r="PQD189" s="1360"/>
      <c r="PQE189" s="1360"/>
      <c r="PQF189" s="1362"/>
      <c r="PQG189" s="955"/>
      <c r="PQH189" s="963"/>
      <c r="PQI189" s="2242"/>
      <c r="PQJ189" s="1360"/>
      <c r="PQK189" s="1360"/>
      <c r="PQL189" s="1360"/>
      <c r="PQM189" s="1360"/>
      <c r="PQN189" s="1362"/>
      <c r="PQO189" s="955"/>
      <c r="PQP189" s="963"/>
      <c r="PQQ189" s="2242"/>
      <c r="PQR189" s="1360"/>
      <c r="PQS189" s="1360"/>
      <c r="PQT189" s="1360"/>
      <c r="PQU189" s="1360"/>
      <c r="PQV189" s="1362"/>
      <c r="PQW189" s="955"/>
      <c r="PQX189" s="963"/>
      <c r="PQY189" s="2242"/>
      <c r="PQZ189" s="1360"/>
      <c r="PRA189" s="1360"/>
      <c r="PRB189" s="1360"/>
      <c r="PRC189" s="1360"/>
      <c r="PRD189" s="1362"/>
      <c r="PRE189" s="955"/>
      <c r="PRF189" s="963"/>
      <c r="PRG189" s="2242"/>
      <c r="PRH189" s="1360"/>
      <c r="PRI189" s="1360"/>
      <c r="PRJ189" s="1360"/>
      <c r="PRK189" s="1360"/>
      <c r="PRL189" s="1362"/>
      <c r="PRM189" s="955"/>
      <c r="PRN189" s="963"/>
      <c r="PRO189" s="2242"/>
      <c r="PRP189" s="1360"/>
      <c r="PRQ189" s="1360"/>
      <c r="PRR189" s="1360"/>
      <c r="PRS189" s="1360"/>
      <c r="PRT189" s="1362"/>
      <c r="PRU189" s="955"/>
      <c r="PRV189" s="963"/>
      <c r="PRW189" s="2242"/>
      <c r="PRX189" s="1360"/>
      <c r="PRY189" s="1360"/>
      <c r="PRZ189" s="1360"/>
      <c r="PSA189" s="1360"/>
      <c r="PSB189" s="1362"/>
      <c r="PSC189" s="955"/>
      <c r="PSD189" s="963"/>
      <c r="PSE189" s="2242"/>
      <c r="PSF189" s="1360"/>
      <c r="PSG189" s="1360"/>
      <c r="PSH189" s="1360"/>
      <c r="PSI189" s="1360"/>
      <c r="PSJ189" s="1362"/>
      <c r="PSK189" s="955"/>
      <c r="PSL189" s="963"/>
      <c r="PSM189" s="2242"/>
      <c r="PSN189" s="1360"/>
      <c r="PSO189" s="1360"/>
      <c r="PSP189" s="1360"/>
      <c r="PSQ189" s="1360"/>
      <c r="PSR189" s="1362"/>
      <c r="PSS189" s="955"/>
      <c r="PST189" s="963"/>
      <c r="PSU189" s="2242"/>
      <c r="PSV189" s="1360"/>
      <c r="PSW189" s="1360"/>
      <c r="PSX189" s="1360"/>
      <c r="PSY189" s="1360"/>
      <c r="PSZ189" s="1362"/>
      <c r="PTA189" s="955"/>
      <c r="PTB189" s="963"/>
      <c r="PTC189" s="2242"/>
      <c r="PTD189" s="1360"/>
      <c r="PTE189" s="1360"/>
      <c r="PTF189" s="1360"/>
      <c r="PTG189" s="1360"/>
      <c r="PTH189" s="1362"/>
      <c r="PTI189" s="955"/>
      <c r="PTJ189" s="963"/>
      <c r="PTK189" s="2242"/>
      <c r="PTL189" s="1360"/>
      <c r="PTM189" s="1360"/>
      <c r="PTN189" s="1360"/>
      <c r="PTO189" s="1360"/>
      <c r="PTP189" s="1362"/>
      <c r="PTQ189" s="955"/>
      <c r="PTR189" s="963"/>
      <c r="PTS189" s="2242"/>
      <c r="PTT189" s="1360"/>
      <c r="PTU189" s="1360"/>
      <c r="PTV189" s="1360"/>
      <c r="PTW189" s="1360"/>
      <c r="PTX189" s="1362"/>
      <c r="PTY189" s="955"/>
      <c r="PTZ189" s="963"/>
      <c r="PUA189" s="2242"/>
      <c r="PUB189" s="1360"/>
      <c r="PUC189" s="1360"/>
      <c r="PUD189" s="1360"/>
      <c r="PUE189" s="1360"/>
      <c r="PUF189" s="1362"/>
      <c r="PUG189" s="955"/>
      <c r="PUH189" s="963"/>
      <c r="PUI189" s="2242"/>
      <c r="PUJ189" s="1360"/>
      <c r="PUK189" s="1360"/>
      <c r="PUL189" s="1360"/>
      <c r="PUM189" s="1360"/>
      <c r="PUN189" s="1362"/>
      <c r="PUO189" s="955"/>
      <c r="PUP189" s="963"/>
      <c r="PUQ189" s="2242"/>
      <c r="PUR189" s="1360"/>
      <c r="PUS189" s="1360"/>
      <c r="PUT189" s="1360"/>
      <c r="PUU189" s="1360"/>
      <c r="PUV189" s="1362"/>
      <c r="PUW189" s="955"/>
      <c r="PUX189" s="963"/>
      <c r="PUY189" s="2242"/>
      <c r="PUZ189" s="1360"/>
      <c r="PVA189" s="1360"/>
      <c r="PVB189" s="1360"/>
      <c r="PVC189" s="1360"/>
      <c r="PVD189" s="1362"/>
      <c r="PVE189" s="955"/>
      <c r="PVF189" s="963"/>
      <c r="PVG189" s="2242"/>
      <c r="PVH189" s="1360"/>
      <c r="PVI189" s="1360"/>
      <c r="PVJ189" s="1360"/>
      <c r="PVK189" s="1360"/>
      <c r="PVL189" s="1362"/>
      <c r="PVM189" s="955"/>
      <c r="PVN189" s="963"/>
      <c r="PVO189" s="2242"/>
      <c r="PVP189" s="1360"/>
      <c r="PVQ189" s="1360"/>
      <c r="PVR189" s="1360"/>
      <c r="PVS189" s="1360"/>
      <c r="PVT189" s="1362"/>
      <c r="PVU189" s="955"/>
      <c r="PVV189" s="963"/>
      <c r="PVW189" s="2242"/>
      <c r="PVX189" s="1360"/>
      <c r="PVY189" s="1360"/>
      <c r="PVZ189" s="1360"/>
      <c r="PWA189" s="1360"/>
      <c r="PWB189" s="1362"/>
      <c r="PWC189" s="955"/>
      <c r="PWD189" s="963"/>
      <c r="PWE189" s="2242"/>
      <c r="PWF189" s="1360"/>
      <c r="PWG189" s="1360"/>
      <c r="PWH189" s="1360"/>
      <c r="PWI189" s="1360"/>
      <c r="PWJ189" s="1362"/>
      <c r="PWK189" s="955"/>
      <c r="PWL189" s="963"/>
      <c r="PWM189" s="2242"/>
      <c r="PWN189" s="1360"/>
      <c r="PWO189" s="1360"/>
      <c r="PWP189" s="1360"/>
      <c r="PWQ189" s="1360"/>
      <c r="PWR189" s="1362"/>
      <c r="PWS189" s="955"/>
      <c r="PWT189" s="963"/>
      <c r="PWU189" s="2242"/>
      <c r="PWV189" s="1360"/>
      <c r="PWW189" s="1360"/>
      <c r="PWX189" s="1360"/>
      <c r="PWY189" s="1360"/>
      <c r="PWZ189" s="1362"/>
      <c r="PXA189" s="955"/>
      <c r="PXB189" s="963"/>
      <c r="PXC189" s="2242"/>
      <c r="PXD189" s="1360"/>
      <c r="PXE189" s="1360"/>
      <c r="PXF189" s="1360"/>
      <c r="PXG189" s="1360"/>
      <c r="PXH189" s="1362"/>
      <c r="PXI189" s="955"/>
      <c r="PXJ189" s="963"/>
      <c r="PXK189" s="2242"/>
      <c r="PXL189" s="1360"/>
      <c r="PXM189" s="1360"/>
      <c r="PXN189" s="1360"/>
      <c r="PXO189" s="1360"/>
      <c r="PXP189" s="1362"/>
      <c r="PXQ189" s="955"/>
      <c r="PXR189" s="963"/>
      <c r="PXS189" s="2242"/>
      <c r="PXT189" s="1360"/>
      <c r="PXU189" s="1360"/>
      <c r="PXV189" s="1360"/>
      <c r="PXW189" s="1360"/>
      <c r="PXX189" s="1362"/>
      <c r="PXY189" s="955"/>
      <c r="PXZ189" s="963"/>
      <c r="PYA189" s="2242"/>
      <c r="PYB189" s="1360"/>
      <c r="PYC189" s="1360"/>
      <c r="PYD189" s="1360"/>
      <c r="PYE189" s="1360"/>
      <c r="PYF189" s="1362"/>
      <c r="PYG189" s="955"/>
      <c r="PYH189" s="963"/>
      <c r="PYI189" s="2242"/>
      <c r="PYJ189" s="1360"/>
      <c r="PYK189" s="1360"/>
      <c r="PYL189" s="1360"/>
      <c r="PYM189" s="1360"/>
      <c r="PYN189" s="1362"/>
      <c r="PYO189" s="955"/>
      <c r="PYP189" s="963"/>
      <c r="PYQ189" s="2242"/>
      <c r="PYR189" s="1360"/>
      <c r="PYS189" s="1360"/>
      <c r="PYT189" s="1360"/>
      <c r="PYU189" s="1360"/>
      <c r="PYV189" s="1362"/>
      <c r="PYW189" s="955"/>
      <c r="PYX189" s="963"/>
      <c r="PYY189" s="2242"/>
      <c r="PYZ189" s="1360"/>
      <c r="PZA189" s="1360"/>
      <c r="PZB189" s="1360"/>
      <c r="PZC189" s="1360"/>
      <c r="PZD189" s="1362"/>
      <c r="PZE189" s="955"/>
      <c r="PZF189" s="963"/>
      <c r="PZG189" s="2242"/>
      <c r="PZH189" s="1360"/>
      <c r="PZI189" s="1360"/>
      <c r="PZJ189" s="1360"/>
      <c r="PZK189" s="1360"/>
      <c r="PZL189" s="1362"/>
      <c r="PZM189" s="955"/>
      <c r="PZN189" s="963"/>
      <c r="PZO189" s="2242"/>
      <c r="PZP189" s="1360"/>
      <c r="PZQ189" s="1360"/>
      <c r="PZR189" s="1360"/>
      <c r="PZS189" s="1360"/>
      <c r="PZT189" s="1362"/>
      <c r="PZU189" s="955"/>
      <c r="PZV189" s="963"/>
      <c r="PZW189" s="2242"/>
      <c r="PZX189" s="1360"/>
      <c r="PZY189" s="1360"/>
      <c r="PZZ189" s="1360"/>
      <c r="QAA189" s="1360"/>
      <c r="QAB189" s="1362"/>
      <c r="QAC189" s="955"/>
      <c r="QAD189" s="963"/>
      <c r="QAE189" s="2242"/>
      <c r="QAF189" s="1360"/>
      <c r="QAG189" s="1360"/>
      <c r="QAH189" s="1360"/>
      <c r="QAI189" s="1360"/>
      <c r="QAJ189" s="1362"/>
      <c r="QAK189" s="955"/>
      <c r="QAL189" s="963"/>
      <c r="QAM189" s="2242"/>
      <c r="QAN189" s="1360"/>
      <c r="QAO189" s="1360"/>
      <c r="QAP189" s="1360"/>
      <c r="QAQ189" s="1360"/>
      <c r="QAR189" s="1362"/>
      <c r="QAS189" s="955"/>
      <c r="QAT189" s="963"/>
      <c r="QAU189" s="2242"/>
      <c r="QAV189" s="1360"/>
      <c r="QAW189" s="1360"/>
      <c r="QAX189" s="1360"/>
      <c r="QAY189" s="1360"/>
      <c r="QAZ189" s="1362"/>
      <c r="QBA189" s="955"/>
      <c r="QBB189" s="963"/>
      <c r="QBC189" s="2242"/>
      <c r="QBD189" s="1360"/>
      <c r="QBE189" s="1360"/>
      <c r="QBF189" s="1360"/>
      <c r="QBG189" s="1360"/>
      <c r="QBH189" s="1362"/>
      <c r="QBI189" s="955"/>
      <c r="QBJ189" s="963"/>
      <c r="QBK189" s="2242"/>
      <c r="QBL189" s="1360"/>
      <c r="QBM189" s="1360"/>
      <c r="QBN189" s="1360"/>
      <c r="QBO189" s="1360"/>
      <c r="QBP189" s="1362"/>
      <c r="QBQ189" s="955"/>
      <c r="QBR189" s="963"/>
      <c r="QBS189" s="2242"/>
      <c r="QBT189" s="1360"/>
      <c r="QBU189" s="1360"/>
      <c r="QBV189" s="1360"/>
      <c r="QBW189" s="1360"/>
      <c r="QBX189" s="1362"/>
      <c r="QBY189" s="955"/>
      <c r="QBZ189" s="963"/>
      <c r="QCA189" s="2242"/>
      <c r="QCB189" s="1360"/>
      <c r="QCC189" s="1360"/>
      <c r="QCD189" s="1360"/>
      <c r="QCE189" s="1360"/>
      <c r="QCF189" s="1362"/>
      <c r="QCG189" s="955"/>
      <c r="QCH189" s="963"/>
      <c r="QCI189" s="2242"/>
      <c r="QCJ189" s="1360"/>
      <c r="QCK189" s="1360"/>
      <c r="QCL189" s="1360"/>
      <c r="QCM189" s="1360"/>
      <c r="QCN189" s="1362"/>
      <c r="QCO189" s="955"/>
      <c r="QCP189" s="963"/>
      <c r="QCQ189" s="2242"/>
      <c r="QCR189" s="1360"/>
      <c r="QCS189" s="1360"/>
      <c r="QCT189" s="1360"/>
      <c r="QCU189" s="1360"/>
      <c r="QCV189" s="1362"/>
      <c r="QCW189" s="955"/>
      <c r="QCX189" s="963"/>
      <c r="QCY189" s="2242"/>
      <c r="QCZ189" s="1360"/>
      <c r="QDA189" s="1360"/>
      <c r="QDB189" s="1360"/>
      <c r="QDC189" s="1360"/>
      <c r="QDD189" s="1362"/>
      <c r="QDE189" s="955"/>
      <c r="QDF189" s="963"/>
      <c r="QDG189" s="2242"/>
      <c r="QDH189" s="1360"/>
      <c r="QDI189" s="1360"/>
      <c r="QDJ189" s="1360"/>
      <c r="QDK189" s="1360"/>
      <c r="QDL189" s="1362"/>
      <c r="QDM189" s="955"/>
      <c r="QDN189" s="963"/>
      <c r="QDO189" s="2242"/>
      <c r="QDP189" s="1360"/>
      <c r="QDQ189" s="1360"/>
      <c r="QDR189" s="1360"/>
      <c r="QDS189" s="1360"/>
      <c r="QDT189" s="1362"/>
      <c r="QDU189" s="955"/>
      <c r="QDV189" s="963"/>
      <c r="QDW189" s="2242"/>
      <c r="QDX189" s="1360"/>
      <c r="QDY189" s="1360"/>
      <c r="QDZ189" s="1360"/>
      <c r="QEA189" s="1360"/>
      <c r="QEB189" s="1362"/>
      <c r="QEC189" s="955"/>
      <c r="QED189" s="963"/>
      <c r="QEE189" s="2242"/>
      <c r="QEF189" s="1360"/>
      <c r="QEG189" s="1360"/>
      <c r="QEH189" s="1360"/>
      <c r="QEI189" s="1360"/>
      <c r="QEJ189" s="1362"/>
      <c r="QEK189" s="955"/>
      <c r="QEL189" s="963"/>
      <c r="QEM189" s="2242"/>
      <c r="QEN189" s="1360"/>
      <c r="QEO189" s="1360"/>
      <c r="QEP189" s="1360"/>
      <c r="QEQ189" s="1360"/>
      <c r="QER189" s="1362"/>
      <c r="QES189" s="955"/>
      <c r="QET189" s="963"/>
      <c r="QEU189" s="2242"/>
      <c r="QEV189" s="1360"/>
      <c r="QEW189" s="1360"/>
      <c r="QEX189" s="1360"/>
      <c r="QEY189" s="1360"/>
      <c r="QEZ189" s="1362"/>
      <c r="QFA189" s="955"/>
      <c r="QFB189" s="963"/>
      <c r="QFC189" s="2242"/>
      <c r="QFD189" s="1360"/>
      <c r="QFE189" s="1360"/>
      <c r="QFF189" s="1360"/>
      <c r="QFG189" s="1360"/>
      <c r="QFH189" s="1362"/>
      <c r="QFI189" s="955"/>
      <c r="QFJ189" s="963"/>
      <c r="QFK189" s="2242"/>
      <c r="QFL189" s="1360"/>
      <c r="QFM189" s="1360"/>
      <c r="QFN189" s="1360"/>
      <c r="QFO189" s="1360"/>
      <c r="QFP189" s="1362"/>
      <c r="QFQ189" s="955"/>
      <c r="QFR189" s="963"/>
      <c r="QFS189" s="2242"/>
      <c r="QFT189" s="1360"/>
      <c r="QFU189" s="1360"/>
      <c r="QFV189" s="1360"/>
      <c r="QFW189" s="1360"/>
      <c r="QFX189" s="1362"/>
      <c r="QFY189" s="955"/>
      <c r="QFZ189" s="963"/>
      <c r="QGA189" s="2242"/>
      <c r="QGB189" s="1360"/>
      <c r="QGC189" s="1360"/>
      <c r="QGD189" s="1360"/>
      <c r="QGE189" s="1360"/>
      <c r="QGF189" s="1362"/>
      <c r="QGG189" s="955"/>
      <c r="QGH189" s="963"/>
      <c r="QGI189" s="2242"/>
      <c r="QGJ189" s="1360"/>
      <c r="QGK189" s="1360"/>
      <c r="QGL189" s="1360"/>
      <c r="QGM189" s="1360"/>
      <c r="QGN189" s="1362"/>
      <c r="QGO189" s="955"/>
      <c r="QGP189" s="963"/>
      <c r="QGQ189" s="2242"/>
      <c r="QGR189" s="1360"/>
      <c r="QGS189" s="1360"/>
      <c r="QGT189" s="1360"/>
      <c r="QGU189" s="1360"/>
      <c r="QGV189" s="1362"/>
      <c r="QGW189" s="955"/>
      <c r="QGX189" s="963"/>
      <c r="QGY189" s="2242"/>
      <c r="QGZ189" s="1360"/>
      <c r="QHA189" s="1360"/>
      <c r="QHB189" s="1360"/>
      <c r="QHC189" s="1360"/>
      <c r="QHD189" s="1362"/>
      <c r="QHE189" s="955"/>
      <c r="QHF189" s="963"/>
      <c r="QHG189" s="2242"/>
      <c r="QHH189" s="1360"/>
      <c r="QHI189" s="1360"/>
      <c r="QHJ189" s="1360"/>
      <c r="QHK189" s="1360"/>
      <c r="QHL189" s="1362"/>
      <c r="QHM189" s="955"/>
      <c r="QHN189" s="963"/>
      <c r="QHO189" s="2242"/>
      <c r="QHP189" s="1360"/>
      <c r="QHQ189" s="1360"/>
      <c r="QHR189" s="1360"/>
      <c r="QHS189" s="1360"/>
      <c r="QHT189" s="1362"/>
      <c r="QHU189" s="955"/>
      <c r="QHV189" s="963"/>
      <c r="QHW189" s="2242"/>
      <c r="QHX189" s="1360"/>
      <c r="QHY189" s="1360"/>
      <c r="QHZ189" s="1360"/>
      <c r="QIA189" s="1360"/>
      <c r="QIB189" s="1362"/>
      <c r="QIC189" s="955"/>
      <c r="QID189" s="963"/>
      <c r="QIE189" s="2242"/>
      <c r="QIF189" s="1360"/>
      <c r="QIG189" s="1360"/>
      <c r="QIH189" s="1360"/>
      <c r="QII189" s="1360"/>
      <c r="QIJ189" s="1362"/>
      <c r="QIK189" s="955"/>
      <c r="QIL189" s="963"/>
      <c r="QIM189" s="2242"/>
      <c r="QIN189" s="1360"/>
      <c r="QIO189" s="1360"/>
      <c r="QIP189" s="1360"/>
      <c r="QIQ189" s="1360"/>
      <c r="QIR189" s="1362"/>
      <c r="QIS189" s="955"/>
      <c r="QIT189" s="963"/>
      <c r="QIU189" s="2242"/>
      <c r="QIV189" s="1360"/>
      <c r="QIW189" s="1360"/>
      <c r="QIX189" s="1360"/>
      <c r="QIY189" s="1360"/>
      <c r="QIZ189" s="1362"/>
      <c r="QJA189" s="955"/>
      <c r="QJB189" s="963"/>
      <c r="QJC189" s="2242"/>
      <c r="QJD189" s="1360"/>
      <c r="QJE189" s="1360"/>
      <c r="QJF189" s="1360"/>
      <c r="QJG189" s="1360"/>
      <c r="QJH189" s="1362"/>
      <c r="QJI189" s="955"/>
      <c r="QJJ189" s="963"/>
      <c r="QJK189" s="2242"/>
      <c r="QJL189" s="1360"/>
      <c r="QJM189" s="1360"/>
      <c r="QJN189" s="1360"/>
      <c r="QJO189" s="1360"/>
      <c r="QJP189" s="1362"/>
      <c r="QJQ189" s="955"/>
      <c r="QJR189" s="963"/>
      <c r="QJS189" s="2242"/>
      <c r="QJT189" s="1360"/>
      <c r="QJU189" s="1360"/>
      <c r="QJV189" s="1360"/>
      <c r="QJW189" s="1360"/>
      <c r="QJX189" s="1362"/>
      <c r="QJY189" s="955"/>
      <c r="QJZ189" s="963"/>
      <c r="QKA189" s="2242"/>
      <c r="QKB189" s="1360"/>
      <c r="QKC189" s="1360"/>
      <c r="QKD189" s="1360"/>
      <c r="QKE189" s="1360"/>
      <c r="QKF189" s="1362"/>
      <c r="QKG189" s="955"/>
      <c r="QKH189" s="963"/>
      <c r="QKI189" s="2242"/>
      <c r="QKJ189" s="1360"/>
      <c r="QKK189" s="1360"/>
      <c r="QKL189" s="1360"/>
      <c r="QKM189" s="1360"/>
      <c r="QKN189" s="1362"/>
      <c r="QKO189" s="955"/>
      <c r="QKP189" s="963"/>
      <c r="QKQ189" s="2242"/>
      <c r="QKR189" s="1360"/>
      <c r="QKS189" s="1360"/>
      <c r="QKT189" s="1360"/>
      <c r="QKU189" s="1360"/>
      <c r="QKV189" s="1362"/>
      <c r="QKW189" s="955"/>
      <c r="QKX189" s="963"/>
      <c r="QKY189" s="2242"/>
      <c r="QKZ189" s="1360"/>
      <c r="QLA189" s="1360"/>
      <c r="QLB189" s="1360"/>
      <c r="QLC189" s="1360"/>
      <c r="QLD189" s="1362"/>
      <c r="QLE189" s="955"/>
      <c r="QLF189" s="963"/>
      <c r="QLG189" s="2242"/>
      <c r="QLH189" s="1360"/>
      <c r="QLI189" s="1360"/>
      <c r="QLJ189" s="1360"/>
      <c r="QLK189" s="1360"/>
      <c r="QLL189" s="1362"/>
      <c r="QLM189" s="955"/>
      <c r="QLN189" s="963"/>
      <c r="QLO189" s="2242"/>
      <c r="QLP189" s="1360"/>
      <c r="QLQ189" s="1360"/>
      <c r="QLR189" s="1360"/>
      <c r="QLS189" s="1360"/>
      <c r="QLT189" s="1362"/>
      <c r="QLU189" s="955"/>
      <c r="QLV189" s="963"/>
      <c r="QLW189" s="2242"/>
      <c r="QLX189" s="1360"/>
      <c r="QLY189" s="1360"/>
      <c r="QLZ189" s="1360"/>
      <c r="QMA189" s="1360"/>
      <c r="QMB189" s="1362"/>
      <c r="QMC189" s="955"/>
      <c r="QMD189" s="963"/>
      <c r="QME189" s="2242"/>
      <c r="QMF189" s="1360"/>
      <c r="QMG189" s="1360"/>
      <c r="QMH189" s="1360"/>
      <c r="QMI189" s="1360"/>
      <c r="QMJ189" s="1362"/>
      <c r="QMK189" s="955"/>
      <c r="QML189" s="963"/>
      <c r="QMM189" s="2242"/>
      <c r="QMN189" s="1360"/>
      <c r="QMO189" s="1360"/>
      <c r="QMP189" s="1360"/>
      <c r="QMQ189" s="1360"/>
      <c r="QMR189" s="1362"/>
      <c r="QMS189" s="955"/>
      <c r="QMT189" s="963"/>
      <c r="QMU189" s="2242"/>
      <c r="QMV189" s="1360"/>
      <c r="QMW189" s="1360"/>
      <c r="QMX189" s="1360"/>
      <c r="QMY189" s="1360"/>
      <c r="QMZ189" s="1362"/>
      <c r="QNA189" s="955"/>
      <c r="QNB189" s="963"/>
      <c r="QNC189" s="2242"/>
      <c r="QND189" s="1360"/>
      <c r="QNE189" s="1360"/>
      <c r="QNF189" s="1360"/>
      <c r="QNG189" s="1360"/>
      <c r="QNH189" s="1362"/>
      <c r="QNI189" s="955"/>
      <c r="QNJ189" s="963"/>
      <c r="QNK189" s="2242"/>
      <c r="QNL189" s="1360"/>
      <c r="QNM189" s="1360"/>
      <c r="QNN189" s="1360"/>
      <c r="QNO189" s="1360"/>
      <c r="QNP189" s="1362"/>
      <c r="QNQ189" s="955"/>
      <c r="QNR189" s="963"/>
      <c r="QNS189" s="2242"/>
      <c r="QNT189" s="1360"/>
      <c r="QNU189" s="1360"/>
      <c r="QNV189" s="1360"/>
      <c r="QNW189" s="1360"/>
      <c r="QNX189" s="1362"/>
      <c r="QNY189" s="955"/>
      <c r="QNZ189" s="963"/>
      <c r="QOA189" s="2242"/>
      <c r="QOB189" s="1360"/>
      <c r="QOC189" s="1360"/>
      <c r="QOD189" s="1360"/>
      <c r="QOE189" s="1360"/>
      <c r="QOF189" s="1362"/>
      <c r="QOG189" s="955"/>
      <c r="QOH189" s="963"/>
      <c r="QOI189" s="2242"/>
      <c r="QOJ189" s="1360"/>
      <c r="QOK189" s="1360"/>
      <c r="QOL189" s="1360"/>
      <c r="QOM189" s="1360"/>
      <c r="QON189" s="1362"/>
      <c r="QOO189" s="955"/>
      <c r="QOP189" s="963"/>
      <c r="QOQ189" s="2242"/>
      <c r="QOR189" s="1360"/>
      <c r="QOS189" s="1360"/>
      <c r="QOT189" s="1360"/>
      <c r="QOU189" s="1360"/>
      <c r="QOV189" s="1362"/>
      <c r="QOW189" s="955"/>
      <c r="QOX189" s="963"/>
      <c r="QOY189" s="2242"/>
      <c r="QOZ189" s="1360"/>
      <c r="QPA189" s="1360"/>
      <c r="QPB189" s="1360"/>
      <c r="QPC189" s="1360"/>
      <c r="QPD189" s="1362"/>
      <c r="QPE189" s="955"/>
      <c r="QPF189" s="963"/>
      <c r="QPG189" s="2242"/>
      <c r="QPH189" s="1360"/>
      <c r="QPI189" s="1360"/>
      <c r="QPJ189" s="1360"/>
      <c r="QPK189" s="1360"/>
      <c r="QPL189" s="1362"/>
      <c r="QPM189" s="955"/>
      <c r="QPN189" s="963"/>
      <c r="QPO189" s="2242"/>
      <c r="QPP189" s="1360"/>
      <c r="QPQ189" s="1360"/>
      <c r="QPR189" s="1360"/>
      <c r="QPS189" s="1360"/>
      <c r="QPT189" s="1362"/>
      <c r="QPU189" s="955"/>
      <c r="QPV189" s="963"/>
      <c r="QPW189" s="2242"/>
      <c r="QPX189" s="1360"/>
      <c r="QPY189" s="1360"/>
      <c r="QPZ189" s="1360"/>
      <c r="QQA189" s="1360"/>
      <c r="QQB189" s="1362"/>
      <c r="QQC189" s="955"/>
      <c r="QQD189" s="963"/>
      <c r="QQE189" s="2242"/>
      <c r="QQF189" s="1360"/>
      <c r="QQG189" s="1360"/>
      <c r="QQH189" s="1360"/>
      <c r="QQI189" s="1360"/>
      <c r="QQJ189" s="1362"/>
      <c r="QQK189" s="955"/>
      <c r="QQL189" s="963"/>
      <c r="QQM189" s="2242"/>
      <c r="QQN189" s="1360"/>
      <c r="QQO189" s="1360"/>
      <c r="QQP189" s="1360"/>
      <c r="QQQ189" s="1360"/>
      <c r="QQR189" s="1362"/>
      <c r="QQS189" s="955"/>
      <c r="QQT189" s="963"/>
      <c r="QQU189" s="2242"/>
      <c r="QQV189" s="1360"/>
      <c r="QQW189" s="1360"/>
      <c r="QQX189" s="1360"/>
      <c r="QQY189" s="1360"/>
      <c r="QQZ189" s="1362"/>
      <c r="QRA189" s="955"/>
      <c r="QRB189" s="963"/>
      <c r="QRC189" s="2242"/>
      <c r="QRD189" s="1360"/>
      <c r="QRE189" s="1360"/>
      <c r="QRF189" s="1360"/>
      <c r="QRG189" s="1360"/>
      <c r="QRH189" s="1362"/>
      <c r="QRI189" s="955"/>
      <c r="QRJ189" s="963"/>
      <c r="QRK189" s="2242"/>
      <c r="QRL189" s="1360"/>
      <c r="QRM189" s="1360"/>
      <c r="QRN189" s="1360"/>
      <c r="QRO189" s="1360"/>
      <c r="QRP189" s="1362"/>
      <c r="QRQ189" s="955"/>
      <c r="QRR189" s="963"/>
      <c r="QRS189" s="2242"/>
      <c r="QRT189" s="1360"/>
      <c r="QRU189" s="1360"/>
      <c r="QRV189" s="1360"/>
      <c r="QRW189" s="1360"/>
      <c r="QRX189" s="1362"/>
      <c r="QRY189" s="955"/>
      <c r="QRZ189" s="963"/>
      <c r="QSA189" s="2242"/>
      <c r="QSB189" s="1360"/>
      <c r="QSC189" s="1360"/>
      <c r="QSD189" s="1360"/>
      <c r="QSE189" s="1360"/>
      <c r="QSF189" s="1362"/>
      <c r="QSG189" s="955"/>
      <c r="QSH189" s="963"/>
      <c r="QSI189" s="2242"/>
      <c r="QSJ189" s="1360"/>
      <c r="QSK189" s="1360"/>
      <c r="QSL189" s="1360"/>
      <c r="QSM189" s="1360"/>
      <c r="QSN189" s="1362"/>
      <c r="QSO189" s="955"/>
      <c r="QSP189" s="963"/>
      <c r="QSQ189" s="2242"/>
      <c r="QSR189" s="1360"/>
      <c r="QSS189" s="1360"/>
      <c r="QST189" s="1360"/>
      <c r="QSU189" s="1360"/>
      <c r="QSV189" s="1362"/>
      <c r="QSW189" s="955"/>
      <c r="QSX189" s="963"/>
      <c r="QSY189" s="2242"/>
      <c r="QSZ189" s="1360"/>
      <c r="QTA189" s="1360"/>
      <c r="QTB189" s="1360"/>
      <c r="QTC189" s="1360"/>
      <c r="QTD189" s="1362"/>
      <c r="QTE189" s="955"/>
      <c r="QTF189" s="963"/>
      <c r="QTG189" s="2242"/>
      <c r="QTH189" s="1360"/>
      <c r="QTI189" s="1360"/>
      <c r="QTJ189" s="1360"/>
      <c r="QTK189" s="1360"/>
      <c r="QTL189" s="1362"/>
      <c r="QTM189" s="955"/>
      <c r="QTN189" s="963"/>
      <c r="QTO189" s="2242"/>
      <c r="QTP189" s="1360"/>
      <c r="QTQ189" s="1360"/>
      <c r="QTR189" s="1360"/>
      <c r="QTS189" s="1360"/>
      <c r="QTT189" s="1362"/>
      <c r="QTU189" s="955"/>
      <c r="QTV189" s="963"/>
      <c r="QTW189" s="2242"/>
      <c r="QTX189" s="1360"/>
      <c r="QTY189" s="1360"/>
      <c r="QTZ189" s="1360"/>
      <c r="QUA189" s="1360"/>
      <c r="QUB189" s="1362"/>
      <c r="QUC189" s="955"/>
      <c r="QUD189" s="963"/>
      <c r="QUE189" s="2242"/>
      <c r="QUF189" s="1360"/>
      <c r="QUG189" s="1360"/>
      <c r="QUH189" s="1360"/>
      <c r="QUI189" s="1360"/>
      <c r="QUJ189" s="1362"/>
      <c r="QUK189" s="955"/>
      <c r="QUL189" s="963"/>
      <c r="QUM189" s="2242"/>
      <c r="QUN189" s="1360"/>
      <c r="QUO189" s="1360"/>
      <c r="QUP189" s="1360"/>
      <c r="QUQ189" s="1360"/>
      <c r="QUR189" s="1362"/>
      <c r="QUS189" s="955"/>
      <c r="QUT189" s="963"/>
      <c r="QUU189" s="2242"/>
      <c r="QUV189" s="1360"/>
      <c r="QUW189" s="1360"/>
      <c r="QUX189" s="1360"/>
      <c r="QUY189" s="1360"/>
      <c r="QUZ189" s="1362"/>
      <c r="QVA189" s="955"/>
      <c r="QVB189" s="963"/>
      <c r="QVC189" s="2242"/>
      <c r="QVD189" s="1360"/>
      <c r="QVE189" s="1360"/>
      <c r="QVF189" s="1360"/>
      <c r="QVG189" s="1360"/>
      <c r="QVH189" s="1362"/>
      <c r="QVI189" s="955"/>
      <c r="QVJ189" s="963"/>
      <c r="QVK189" s="2242"/>
      <c r="QVL189" s="1360"/>
      <c r="QVM189" s="1360"/>
      <c r="QVN189" s="1360"/>
      <c r="QVO189" s="1360"/>
      <c r="QVP189" s="1362"/>
      <c r="QVQ189" s="955"/>
      <c r="QVR189" s="963"/>
      <c r="QVS189" s="2242"/>
      <c r="QVT189" s="1360"/>
      <c r="QVU189" s="1360"/>
      <c r="QVV189" s="1360"/>
      <c r="QVW189" s="1360"/>
      <c r="QVX189" s="1362"/>
      <c r="QVY189" s="955"/>
      <c r="QVZ189" s="963"/>
      <c r="QWA189" s="2242"/>
      <c r="QWB189" s="1360"/>
      <c r="QWC189" s="1360"/>
      <c r="QWD189" s="1360"/>
      <c r="QWE189" s="1360"/>
      <c r="QWF189" s="1362"/>
      <c r="QWG189" s="955"/>
      <c r="QWH189" s="963"/>
      <c r="QWI189" s="2242"/>
      <c r="QWJ189" s="1360"/>
      <c r="QWK189" s="1360"/>
      <c r="QWL189" s="1360"/>
      <c r="QWM189" s="1360"/>
      <c r="QWN189" s="1362"/>
      <c r="QWO189" s="955"/>
      <c r="QWP189" s="963"/>
      <c r="QWQ189" s="2242"/>
      <c r="QWR189" s="1360"/>
      <c r="QWS189" s="1360"/>
      <c r="QWT189" s="1360"/>
      <c r="QWU189" s="1360"/>
      <c r="QWV189" s="1362"/>
      <c r="QWW189" s="955"/>
      <c r="QWX189" s="963"/>
      <c r="QWY189" s="2242"/>
      <c r="QWZ189" s="1360"/>
      <c r="QXA189" s="1360"/>
      <c r="QXB189" s="1360"/>
      <c r="QXC189" s="1360"/>
      <c r="QXD189" s="1362"/>
      <c r="QXE189" s="955"/>
      <c r="QXF189" s="963"/>
      <c r="QXG189" s="2242"/>
      <c r="QXH189" s="1360"/>
      <c r="QXI189" s="1360"/>
      <c r="QXJ189" s="1360"/>
      <c r="QXK189" s="1360"/>
      <c r="QXL189" s="1362"/>
      <c r="QXM189" s="955"/>
      <c r="QXN189" s="963"/>
      <c r="QXO189" s="2242"/>
      <c r="QXP189" s="1360"/>
      <c r="QXQ189" s="1360"/>
      <c r="QXR189" s="1360"/>
      <c r="QXS189" s="1360"/>
      <c r="QXT189" s="1362"/>
      <c r="QXU189" s="955"/>
      <c r="QXV189" s="963"/>
      <c r="QXW189" s="2242"/>
      <c r="QXX189" s="1360"/>
      <c r="QXY189" s="1360"/>
      <c r="QXZ189" s="1360"/>
      <c r="QYA189" s="1360"/>
      <c r="QYB189" s="1362"/>
      <c r="QYC189" s="955"/>
      <c r="QYD189" s="963"/>
      <c r="QYE189" s="2242"/>
      <c r="QYF189" s="1360"/>
      <c r="QYG189" s="1360"/>
      <c r="QYH189" s="1360"/>
      <c r="QYI189" s="1360"/>
      <c r="QYJ189" s="1362"/>
      <c r="QYK189" s="955"/>
      <c r="QYL189" s="963"/>
      <c r="QYM189" s="2242"/>
      <c r="QYN189" s="1360"/>
      <c r="QYO189" s="1360"/>
      <c r="QYP189" s="1360"/>
      <c r="QYQ189" s="1360"/>
      <c r="QYR189" s="1362"/>
      <c r="QYS189" s="955"/>
      <c r="QYT189" s="963"/>
      <c r="QYU189" s="2242"/>
      <c r="QYV189" s="1360"/>
      <c r="QYW189" s="1360"/>
      <c r="QYX189" s="1360"/>
      <c r="QYY189" s="1360"/>
      <c r="QYZ189" s="1362"/>
      <c r="QZA189" s="955"/>
      <c r="QZB189" s="963"/>
      <c r="QZC189" s="2242"/>
      <c r="QZD189" s="1360"/>
      <c r="QZE189" s="1360"/>
      <c r="QZF189" s="1360"/>
      <c r="QZG189" s="1360"/>
      <c r="QZH189" s="1362"/>
      <c r="QZI189" s="955"/>
      <c r="QZJ189" s="963"/>
      <c r="QZK189" s="2242"/>
      <c r="QZL189" s="1360"/>
      <c r="QZM189" s="1360"/>
      <c r="QZN189" s="1360"/>
      <c r="QZO189" s="1360"/>
      <c r="QZP189" s="1362"/>
      <c r="QZQ189" s="955"/>
      <c r="QZR189" s="963"/>
      <c r="QZS189" s="2242"/>
      <c r="QZT189" s="1360"/>
      <c r="QZU189" s="1360"/>
      <c r="QZV189" s="1360"/>
      <c r="QZW189" s="1360"/>
      <c r="QZX189" s="1362"/>
      <c r="QZY189" s="955"/>
      <c r="QZZ189" s="963"/>
      <c r="RAA189" s="2242"/>
      <c r="RAB189" s="1360"/>
      <c r="RAC189" s="1360"/>
      <c r="RAD189" s="1360"/>
      <c r="RAE189" s="1360"/>
      <c r="RAF189" s="1362"/>
      <c r="RAG189" s="955"/>
      <c r="RAH189" s="963"/>
      <c r="RAI189" s="2242"/>
      <c r="RAJ189" s="1360"/>
      <c r="RAK189" s="1360"/>
      <c r="RAL189" s="1360"/>
      <c r="RAM189" s="1360"/>
      <c r="RAN189" s="1362"/>
      <c r="RAO189" s="955"/>
      <c r="RAP189" s="963"/>
      <c r="RAQ189" s="2242"/>
      <c r="RAR189" s="1360"/>
      <c r="RAS189" s="1360"/>
      <c r="RAT189" s="1360"/>
      <c r="RAU189" s="1360"/>
      <c r="RAV189" s="1362"/>
      <c r="RAW189" s="955"/>
      <c r="RAX189" s="963"/>
      <c r="RAY189" s="2242"/>
      <c r="RAZ189" s="1360"/>
      <c r="RBA189" s="1360"/>
      <c r="RBB189" s="1360"/>
      <c r="RBC189" s="1360"/>
      <c r="RBD189" s="1362"/>
      <c r="RBE189" s="955"/>
      <c r="RBF189" s="963"/>
      <c r="RBG189" s="2242"/>
      <c r="RBH189" s="1360"/>
      <c r="RBI189" s="1360"/>
      <c r="RBJ189" s="1360"/>
      <c r="RBK189" s="1360"/>
      <c r="RBL189" s="1362"/>
      <c r="RBM189" s="955"/>
      <c r="RBN189" s="963"/>
      <c r="RBO189" s="2242"/>
      <c r="RBP189" s="1360"/>
      <c r="RBQ189" s="1360"/>
      <c r="RBR189" s="1360"/>
      <c r="RBS189" s="1360"/>
      <c r="RBT189" s="1362"/>
      <c r="RBU189" s="955"/>
      <c r="RBV189" s="963"/>
      <c r="RBW189" s="2242"/>
      <c r="RBX189" s="1360"/>
      <c r="RBY189" s="1360"/>
      <c r="RBZ189" s="1360"/>
      <c r="RCA189" s="1360"/>
      <c r="RCB189" s="1362"/>
      <c r="RCC189" s="955"/>
      <c r="RCD189" s="963"/>
      <c r="RCE189" s="2242"/>
      <c r="RCF189" s="1360"/>
      <c r="RCG189" s="1360"/>
      <c r="RCH189" s="1360"/>
      <c r="RCI189" s="1360"/>
      <c r="RCJ189" s="1362"/>
      <c r="RCK189" s="955"/>
      <c r="RCL189" s="963"/>
      <c r="RCM189" s="2242"/>
      <c r="RCN189" s="1360"/>
      <c r="RCO189" s="1360"/>
      <c r="RCP189" s="1360"/>
      <c r="RCQ189" s="1360"/>
      <c r="RCR189" s="1362"/>
      <c r="RCS189" s="955"/>
      <c r="RCT189" s="963"/>
      <c r="RCU189" s="2242"/>
      <c r="RCV189" s="1360"/>
      <c r="RCW189" s="1360"/>
      <c r="RCX189" s="1360"/>
      <c r="RCY189" s="1360"/>
      <c r="RCZ189" s="1362"/>
      <c r="RDA189" s="955"/>
      <c r="RDB189" s="963"/>
      <c r="RDC189" s="2242"/>
      <c r="RDD189" s="1360"/>
      <c r="RDE189" s="1360"/>
      <c r="RDF189" s="1360"/>
      <c r="RDG189" s="1360"/>
      <c r="RDH189" s="1362"/>
      <c r="RDI189" s="955"/>
      <c r="RDJ189" s="963"/>
      <c r="RDK189" s="2242"/>
      <c r="RDL189" s="1360"/>
      <c r="RDM189" s="1360"/>
      <c r="RDN189" s="1360"/>
      <c r="RDO189" s="1360"/>
      <c r="RDP189" s="1362"/>
      <c r="RDQ189" s="955"/>
      <c r="RDR189" s="963"/>
      <c r="RDS189" s="2242"/>
      <c r="RDT189" s="1360"/>
      <c r="RDU189" s="1360"/>
      <c r="RDV189" s="1360"/>
      <c r="RDW189" s="1360"/>
      <c r="RDX189" s="1362"/>
      <c r="RDY189" s="955"/>
      <c r="RDZ189" s="963"/>
      <c r="REA189" s="2242"/>
      <c r="REB189" s="1360"/>
      <c r="REC189" s="1360"/>
      <c r="RED189" s="1360"/>
      <c r="REE189" s="1360"/>
      <c r="REF189" s="1362"/>
      <c r="REG189" s="955"/>
      <c r="REH189" s="963"/>
      <c r="REI189" s="2242"/>
      <c r="REJ189" s="1360"/>
      <c r="REK189" s="1360"/>
      <c r="REL189" s="1360"/>
      <c r="REM189" s="1360"/>
      <c r="REN189" s="1362"/>
      <c r="REO189" s="955"/>
      <c r="REP189" s="963"/>
      <c r="REQ189" s="2242"/>
      <c r="RER189" s="1360"/>
      <c r="RES189" s="1360"/>
      <c r="RET189" s="1360"/>
      <c r="REU189" s="1360"/>
      <c r="REV189" s="1362"/>
      <c r="REW189" s="955"/>
      <c r="REX189" s="963"/>
      <c r="REY189" s="2242"/>
      <c r="REZ189" s="1360"/>
      <c r="RFA189" s="1360"/>
      <c r="RFB189" s="1360"/>
      <c r="RFC189" s="1360"/>
      <c r="RFD189" s="1362"/>
      <c r="RFE189" s="955"/>
      <c r="RFF189" s="963"/>
      <c r="RFG189" s="2242"/>
      <c r="RFH189" s="1360"/>
      <c r="RFI189" s="1360"/>
      <c r="RFJ189" s="1360"/>
      <c r="RFK189" s="1360"/>
      <c r="RFL189" s="1362"/>
      <c r="RFM189" s="955"/>
      <c r="RFN189" s="963"/>
      <c r="RFO189" s="2242"/>
      <c r="RFP189" s="1360"/>
      <c r="RFQ189" s="1360"/>
      <c r="RFR189" s="1360"/>
      <c r="RFS189" s="1360"/>
      <c r="RFT189" s="1362"/>
      <c r="RFU189" s="955"/>
      <c r="RFV189" s="963"/>
      <c r="RFW189" s="2242"/>
      <c r="RFX189" s="1360"/>
      <c r="RFY189" s="1360"/>
      <c r="RFZ189" s="1360"/>
      <c r="RGA189" s="1360"/>
      <c r="RGB189" s="1362"/>
      <c r="RGC189" s="955"/>
      <c r="RGD189" s="963"/>
      <c r="RGE189" s="2242"/>
      <c r="RGF189" s="1360"/>
      <c r="RGG189" s="1360"/>
      <c r="RGH189" s="1360"/>
      <c r="RGI189" s="1360"/>
      <c r="RGJ189" s="1362"/>
      <c r="RGK189" s="955"/>
      <c r="RGL189" s="963"/>
      <c r="RGM189" s="2242"/>
      <c r="RGN189" s="1360"/>
      <c r="RGO189" s="1360"/>
      <c r="RGP189" s="1360"/>
      <c r="RGQ189" s="1360"/>
      <c r="RGR189" s="1362"/>
      <c r="RGS189" s="955"/>
      <c r="RGT189" s="963"/>
      <c r="RGU189" s="2242"/>
      <c r="RGV189" s="1360"/>
      <c r="RGW189" s="1360"/>
      <c r="RGX189" s="1360"/>
      <c r="RGY189" s="1360"/>
      <c r="RGZ189" s="1362"/>
      <c r="RHA189" s="955"/>
      <c r="RHB189" s="963"/>
      <c r="RHC189" s="2242"/>
      <c r="RHD189" s="1360"/>
      <c r="RHE189" s="1360"/>
      <c r="RHF189" s="1360"/>
      <c r="RHG189" s="1360"/>
      <c r="RHH189" s="1362"/>
      <c r="RHI189" s="955"/>
      <c r="RHJ189" s="963"/>
      <c r="RHK189" s="2242"/>
      <c r="RHL189" s="1360"/>
      <c r="RHM189" s="1360"/>
      <c r="RHN189" s="1360"/>
      <c r="RHO189" s="1360"/>
      <c r="RHP189" s="1362"/>
      <c r="RHQ189" s="955"/>
      <c r="RHR189" s="963"/>
      <c r="RHS189" s="2242"/>
      <c r="RHT189" s="1360"/>
      <c r="RHU189" s="1360"/>
      <c r="RHV189" s="1360"/>
      <c r="RHW189" s="1360"/>
      <c r="RHX189" s="1362"/>
      <c r="RHY189" s="955"/>
      <c r="RHZ189" s="963"/>
      <c r="RIA189" s="2242"/>
      <c r="RIB189" s="1360"/>
      <c r="RIC189" s="1360"/>
      <c r="RID189" s="1360"/>
      <c r="RIE189" s="1360"/>
      <c r="RIF189" s="1362"/>
      <c r="RIG189" s="955"/>
      <c r="RIH189" s="963"/>
      <c r="RII189" s="2242"/>
      <c r="RIJ189" s="1360"/>
      <c r="RIK189" s="1360"/>
      <c r="RIL189" s="1360"/>
      <c r="RIM189" s="1360"/>
      <c r="RIN189" s="1362"/>
      <c r="RIO189" s="955"/>
      <c r="RIP189" s="963"/>
      <c r="RIQ189" s="2242"/>
      <c r="RIR189" s="1360"/>
      <c r="RIS189" s="1360"/>
      <c r="RIT189" s="1360"/>
      <c r="RIU189" s="1360"/>
      <c r="RIV189" s="1362"/>
      <c r="RIW189" s="955"/>
      <c r="RIX189" s="963"/>
      <c r="RIY189" s="2242"/>
      <c r="RIZ189" s="1360"/>
      <c r="RJA189" s="1360"/>
      <c r="RJB189" s="1360"/>
      <c r="RJC189" s="1360"/>
      <c r="RJD189" s="1362"/>
      <c r="RJE189" s="955"/>
      <c r="RJF189" s="963"/>
      <c r="RJG189" s="2242"/>
      <c r="RJH189" s="1360"/>
      <c r="RJI189" s="1360"/>
      <c r="RJJ189" s="1360"/>
      <c r="RJK189" s="1360"/>
      <c r="RJL189" s="1362"/>
      <c r="RJM189" s="955"/>
      <c r="RJN189" s="963"/>
      <c r="RJO189" s="2242"/>
      <c r="RJP189" s="1360"/>
      <c r="RJQ189" s="1360"/>
      <c r="RJR189" s="1360"/>
      <c r="RJS189" s="1360"/>
      <c r="RJT189" s="1362"/>
      <c r="RJU189" s="955"/>
      <c r="RJV189" s="963"/>
      <c r="RJW189" s="2242"/>
      <c r="RJX189" s="1360"/>
      <c r="RJY189" s="1360"/>
      <c r="RJZ189" s="1360"/>
      <c r="RKA189" s="1360"/>
      <c r="RKB189" s="1362"/>
      <c r="RKC189" s="955"/>
      <c r="RKD189" s="963"/>
      <c r="RKE189" s="2242"/>
      <c r="RKF189" s="1360"/>
      <c r="RKG189" s="1360"/>
      <c r="RKH189" s="1360"/>
      <c r="RKI189" s="1360"/>
      <c r="RKJ189" s="1362"/>
      <c r="RKK189" s="955"/>
      <c r="RKL189" s="963"/>
      <c r="RKM189" s="2242"/>
      <c r="RKN189" s="1360"/>
      <c r="RKO189" s="1360"/>
      <c r="RKP189" s="1360"/>
      <c r="RKQ189" s="1360"/>
      <c r="RKR189" s="1362"/>
      <c r="RKS189" s="955"/>
      <c r="RKT189" s="963"/>
      <c r="RKU189" s="2242"/>
      <c r="RKV189" s="1360"/>
      <c r="RKW189" s="1360"/>
      <c r="RKX189" s="1360"/>
      <c r="RKY189" s="1360"/>
      <c r="RKZ189" s="1362"/>
      <c r="RLA189" s="955"/>
      <c r="RLB189" s="963"/>
      <c r="RLC189" s="2242"/>
      <c r="RLD189" s="1360"/>
      <c r="RLE189" s="1360"/>
      <c r="RLF189" s="1360"/>
      <c r="RLG189" s="1360"/>
      <c r="RLH189" s="1362"/>
      <c r="RLI189" s="955"/>
      <c r="RLJ189" s="963"/>
      <c r="RLK189" s="2242"/>
      <c r="RLL189" s="1360"/>
      <c r="RLM189" s="1360"/>
      <c r="RLN189" s="1360"/>
      <c r="RLO189" s="1360"/>
      <c r="RLP189" s="1362"/>
      <c r="RLQ189" s="955"/>
      <c r="RLR189" s="963"/>
      <c r="RLS189" s="2242"/>
      <c r="RLT189" s="1360"/>
      <c r="RLU189" s="1360"/>
      <c r="RLV189" s="1360"/>
      <c r="RLW189" s="1360"/>
      <c r="RLX189" s="1362"/>
      <c r="RLY189" s="955"/>
      <c r="RLZ189" s="963"/>
      <c r="RMA189" s="2242"/>
      <c r="RMB189" s="1360"/>
      <c r="RMC189" s="1360"/>
      <c r="RMD189" s="1360"/>
      <c r="RME189" s="1360"/>
      <c r="RMF189" s="1362"/>
      <c r="RMG189" s="955"/>
      <c r="RMH189" s="963"/>
      <c r="RMI189" s="2242"/>
      <c r="RMJ189" s="1360"/>
      <c r="RMK189" s="1360"/>
      <c r="RML189" s="1360"/>
      <c r="RMM189" s="1360"/>
      <c r="RMN189" s="1362"/>
      <c r="RMO189" s="955"/>
      <c r="RMP189" s="963"/>
      <c r="RMQ189" s="2242"/>
      <c r="RMR189" s="1360"/>
      <c r="RMS189" s="1360"/>
      <c r="RMT189" s="1360"/>
      <c r="RMU189" s="1360"/>
      <c r="RMV189" s="1362"/>
      <c r="RMW189" s="955"/>
      <c r="RMX189" s="963"/>
      <c r="RMY189" s="2242"/>
      <c r="RMZ189" s="1360"/>
      <c r="RNA189" s="1360"/>
      <c r="RNB189" s="1360"/>
      <c r="RNC189" s="1360"/>
      <c r="RND189" s="1362"/>
      <c r="RNE189" s="955"/>
      <c r="RNF189" s="963"/>
      <c r="RNG189" s="2242"/>
      <c r="RNH189" s="1360"/>
      <c r="RNI189" s="1360"/>
      <c r="RNJ189" s="1360"/>
      <c r="RNK189" s="1360"/>
      <c r="RNL189" s="1362"/>
      <c r="RNM189" s="955"/>
      <c r="RNN189" s="963"/>
      <c r="RNO189" s="2242"/>
      <c r="RNP189" s="1360"/>
      <c r="RNQ189" s="1360"/>
      <c r="RNR189" s="1360"/>
      <c r="RNS189" s="1360"/>
      <c r="RNT189" s="1362"/>
      <c r="RNU189" s="955"/>
      <c r="RNV189" s="963"/>
      <c r="RNW189" s="2242"/>
      <c r="RNX189" s="1360"/>
      <c r="RNY189" s="1360"/>
      <c r="RNZ189" s="1360"/>
      <c r="ROA189" s="1360"/>
      <c r="ROB189" s="1362"/>
      <c r="ROC189" s="955"/>
      <c r="ROD189" s="963"/>
      <c r="ROE189" s="2242"/>
      <c r="ROF189" s="1360"/>
      <c r="ROG189" s="1360"/>
      <c r="ROH189" s="1360"/>
      <c r="ROI189" s="1360"/>
      <c r="ROJ189" s="1362"/>
      <c r="ROK189" s="955"/>
      <c r="ROL189" s="963"/>
      <c r="ROM189" s="2242"/>
      <c r="RON189" s="1360"/>
      <c r="ROO189" s="1360"/>
      <c r="ROP189" s="1360"/>
      <c r="ROQ189" s="1360"/>
      <c r="ROR189" s="1362"/>
      <c r="ROS189" s="955"/>
      <c r="ROT189" s="963"/>
      <c r="ROU189" s="2242"/>
      <c r="ROV189" s="1360"/>
      <c r="ROW189" s="1360"/>
      <c r="ROX189" s="1360"/>
      <c r="ROY189" s="1360"/>
      <c r="ROZ189" s="1362"/>
      <c r="RPA189" s="955"/>
      <c r="RPB189" s="963"/>
      <c r="RPC189" s="2242"/>
      <c r="RPD189" s="1360"/>
      <c r="RPE189" s="1360"/>
      <c r="RPF189" s="1360"/>
      <c r="RPG189" s="1360"/>
      <c r="RPH189" s="1362"/>
      <c r="RPI189" s="955"/>
      <c r="RPJ189" s="963"/>
      <c r="RPK189" s="2242"/>
      <c r="RPL189" s="1360"/>
      <c r="RPM189" s="1360"/>
      <c r="RPN189" s="1360"/>
      <c r="RPO189" s="1360"/>
      <c r="RPP189" s="1362"/>
      <c r="RPQ189" s="955"/>
      <c r="RPR189" s="963"/>
      <c r="RPS189" s="2242"/>
      <c r="RPT189" s="1360"/>
      <c r="RPU189" s="1360"/>
      <c r="RPV189" s="1360"/>
      <c r="RPW189" s="1360"/>
      <c r="RPX189" s="1362"/>
      <c r="RPY189" s="955"/>
      <c r="RPZ189" s="963"/>
      <c r="RQA189" s="2242"/>
      <c r="RQB189" s="1360"/>
      <c r="RQC189" s="1360"/>
      <c r="RQD189" s="1360"/>
      <c r="RQE189" s="1360"/>
      <c r="RQF189" s="1362"/>
      <c r="RQG189" s="955"/>
      <c r="RQH189" s="963"/>
      <c r="RQI189" s="2242"/>
      <c r="RQJ189" s="1360"/>
      <c r="RQK189" s="1360"/>
      <c r="RQL189" s="1360"/>
      <c r="RQM189" s="1360"/>
      <c r="RQN189" s="1362"/>
      <c r="RQO189" s="955"/>
      <c r="RQP189" s="963"/>
      <c r="RQQ189" s="2242"/>
      <c r="RQR189" s="1360"/>
      <c r="RQS189" s="1360"/>
      <c r="RQT189" s="1360"/>
      <c r="RQU189" s="1360"/>
      <c r="RQV189" s="1362"/>
      <c r="RQW189" s="955"/>
      <c r="RQX189" s="963"/>
      <c r="RQY189" s="2242"/>
      <c r="RQZ189" s="1360"/>
      <c r="RRA189" s="1360"/>
      <c r="RRB189" s="1360"/>
      <c r="RRC189" s="1360"/>
      <c r="RRD189" s="1362"/>
      <c r="RRE189" s="955"/>
      <c r="RRF189" s="963"/>
      <c r="RRG189" s="2242"/>
      <c r="RRH189" s="1360"/>
      <c r="RRI189" s="1360"/>
      <c r="RRJ189" s="1360"/>
      <c r="RRK189" s="1360"/>
      <c r="RRL189" s="1362"/>
      <c r="RRM189" s="955"/>
      <c r="RRN189" s="963"/>
      <c r="RRO189" s="2242"/>
      <c r="RRP189" s="1360"/>
      <c r="RRQ189" s="1360"/>
      <c r="RRR189" s="1360"/>
      <c r="RRS189" s="1360"/>
      <c r="RRT189" s="1362"/>
      <c r="RRU189" s="955"/>
      <c r="RRV189" s="963"/>
      <c r="RRW189" s="2242"/>
      <c r="RRX189" s="1360"/>
      <c r="RRY189" s="1360"/>
      <c r="RRZ189" s="1360"/>
      <c r="RSA189" s="1360"/>
      <c r="RSB189" s="1362"/>
      <c r="RSC189" s="955"/>
      <c r="RSD189" s="963"/>
      <c r="RSE189" s="2242"/>
      <c r="RSF189" s="1360"/>
      <c r="RSG189" s="1360"/>
      <c r="RSH189" s="1360"/>
      <c r="RSI189" s="1360"/>
      <c r="RSJ189" s="1362"/>
      <c r="RSK189" s="955"/>
      <c r="RSL189" s="963"/>
      <c r="RSM189" s="2242"/>
      <c r="RSN189" s="1360"/>
      <c r="RSO189" s="1360"/>
      <c r="RSP189" s="1360"/>
      <c r="RSQ189" s="1360"/>
      <c r="RSR189" s="1362"/>
      <c r="RSS189" s="955"/>
      <c r="RST189" s="963"/>
      <c r="RSU189" s="2242"/>
      <c r="RSV189" s="1360"/>
      <c r="RSW189" s="1360"/>
      <c r="RSX189" s="1360"/>
      <c r="RSY189" s="1360"/>
      <c r="RSZ189" s="1362"/>
      <c r="RTA189" s="955"/>
      <c r="RTB189" s="963"/>
      <c r="RTC189" s="2242"/>
      <c r="RTD189" s="1360"/>
      <c r="RTE189" s="1360"/>
      <c r="RTF189" s="1360"/>
      <c r="RTG189" s="1360"/>
      <c r="RTH189" s="1362"/>
      <c r="RTI189" s="955"/>
      <c r="RTJ189" s="963"/>
      <c r="RTK189" s="2242"/>
      <c r="RTL189" s="1360"/>
      <c r="RTM189" s="1360"/>
      <c r="RTN189" s="1360"/>
      <c r="RTO189" s="1360"/>
      <c r="RTP189" s="1362"/>
      <c r="RTQ189" s="955"/>
      <c r="RTR189" s="963"/>
      <c r="RTS189" s="2242"/>
      <c r="RTT189" s="1360"/>
      <c r="RTU189" s="1360"/>
      <c r="RTV189" s="1360"/>
      <c r="RTW189" s="1360"/>
      <c r="RTX189" s="1362"/>
      <c r="RTY189" s="955"/>
      <c r="RTZ189" s="963"/>
      <c r="RUA189" s="2242"/>
      <c r="RUB189" s="1360"/>
      <c r="RUC189" s="1360"/>
      <c r="RUD189" s="1360"/>
      <c r="RUE189" s="1360"/>
      <c r="RUF189" s="1362"/>
      <c r="RUG189" s="955"/>
      <c r="RUH189" s="963"/>
      <c r="RUI189" s="2242"/>
      <c r="RUJ189" s="1360"/>
      <c r="RUK189" s="1360"/>
      <c r="RUL189" s="1360"/>
      <c r="RUM189" s="1360"/>
      <c r="RUN189" s="1362"/>
      <c r="RUO189" s="955"/>
      <c r="RUP189" s="963"/>
      <c r="RUQ189" s="2242"/>
      <c r="RUR189" s="1360"/>
      <c r="RUS189" s="1360"/>
      <c r="RUT189" s="1360"/>
      <c r="RUU189" s="1360"/>
      <c r="RUV189" s="1362"/>
      <c r="RUW189" s="955"/>
      <c r="RUX189" s="963"/>
      <c r="RUY189" s="2242"/>
      <c r="RUZ189" s="1360"/>
      <c r="RVA189" s="1360"/>
      <c r="RVB189" s="1360"/>
      <c r="RVC189" s="1360"/>
      <c r="RVD189" s="1362"/>
      <c r="RVE189" s="955"/>
      <c r="RVF189" s="963"/>
      <c r="RVG189" s="2242"/>
      <c r="RVH189" s="1360"/>
      <c r="RVI189" s="1360"/>
      <c r="RVJ189" s="1360"/>
      <c r="RVK189" s="1360"/>
      <c r="RVL189" s="1362"/>
      <c r="RVM189" s="955"/>
      <c r="RVN189" s="963"/>
      <c r="RVO189" s="2242"/>
      <c r="RVP189" s="1360"/>
      <c r="RVQ189" s="1360"/>
      <c r="RVR189" s="1360"/>
      <c r="RVS189" s="1360"/>
      <c r="RVT189" s="1362"/>
      <c r="RVU189" s="955"/>
      <c r="RVV189" s="963"/>
      <c r="RVW189" s="2242"/>
      <c r="RVX189" s="1360"/>
      <c r="RVY189" s="1360"/>
      <c r="RVZ189" s="1360"/>
      <c r="RWA189" s="1360"/>
      <c r="RWB189" s="1362"/>
      <c r="RWC189" s="955"/>
      <c r="RWD189" s="963"/>
      <c r="RWE189" s="2242"/>
      <c r="RWF189" s="1360"/>
      <c r="RWG189" s="1360"/>
      <c r="RWH189" s="1360"/>
      <c r="RWI189" s="1360"/>
      <c r="RWJ189" s="1362"/>
      <c r="RWK189" s="955"/>
      <c r="RWL189" s="963"/>
      <c r="RWM189" s="2242"/>
      <c r="RWN189" s="1360"/>
      <c r="RWO189" s="1360"/>
      <c r="RWP189" s="1360"/>
      <c r="RWQ189" s="1360"/>
      <c r="RWR189" s="1362"/>
      <c r="RWS189" s="955"/>
      <c r="RWT189" s="963"/>
      <c r="RWU189" s="2242"/>
      <c r="RWV189" s="1360"/>
      <c r="RWW189" s="1360"/>
      <c r="RWX189" s="1360"/>
      <c r="RWY189" s="1360"/>
      <c r="RWZ189" s="1362"/>
      <c r="RXA189" s="955"/>
      <c r="RXB189" s="963"/>
      <c r="RXC189" s="2242"/>
      <c r="RXD189" s="1360"/>
      <c r="RXE189" s="1360"/>
      <c r="RXF189" s="1360"/>
      <c r="RXG189" s="1360"/>
      <c r="RXH189" s="1362"/>
      <c r="RXI189" s="955"/>
      <c r="RXJ189" s="963"/>
      <c r="RXK189" s="2242"/>
      <c r="RXL189" s="1360"/>
      <c r="RXM189" s="1360"/>
      <c r="RXN189" s="1360"/>
      <c r="RXO189" s="1360"/>
      <c r="RXP189" s="1362"/>
      <c r="RXQ189" s="955"/>
      <c r="RXR189" s="963"/>
      <c r="RXS189" s="2242"/>
      <c r="RXT189" s="1360"/>
      <c r="RXU189" s="1360"/>
      <c r="RXV189" s="1360"/>
      <c r="RXW189" s="1360"/>
      <c r="RXX189" s="1362"/>
      <c r="RXY189" s="955"/>
      <c r="RXZ189" s="963"/>
      <c r="RYA189" s="2242"/>
      <c r="RYB189" s="1360"/>
      <c r="RYC189" s="1360"/>
      <c r="RYD189" s="1360"/>
      <c r="RYE189" s="1360"/>
      <c r="RYF189" s="1362"/>
      <c r="RYG189" s="955"/>
      <c r="RYH189" s="963"/>
      <c r="RYI189" s="2242"/>
      <c r="RYJ189" s="1360"/>
      <c r="RYK189" s="1360"/>
      <c r="RYL189" s="1360"/>
      <c r="RYM189" s="1360"/>
      <c r="RYN189" s="1362"/>
      <c r="RYO189" s="955"/>
      <c r="RYP189" s="963"/>
      <c r="RYQ189" s="2242"/>
      <c r="RYR189" s="1360"/>
      <c r="RYS189" s="1360"/>
      <c r="RYT189" s="1360"/>
      <c r="RYU189" s="1360"/>
      <c r="RYV189" s="1362"/>
      <c r="RYW189" s="955"/>
      <c r="RYX189" s="963"/>
      <c r="RYY189" s="2242"/>
      <c r="RYZ189" s="1360"/>
      <c r="RZA189" s="1360"/>
      <c r="RZB189" s="1360"/>
      <c r="RZC189" s="1360"/>
      <c r="RZD189" s="1362"/>
      <c r="RZE189" s="955"/>
      <c r="RZF189" s="963"/>
      <c r="RZG189" s="2242"/>
      <c r="RZH189" s="1360"/>
      <c r="RZI189" s="1360"/>
      <c r="RZJ189" s="1360"/>
      <c r="RZK189" s="1360"/>
      <c r="RZL189" s="1362"/>
      <c r="RZM189" s="955"/>
      <c r="RZN189" s="963"/>
      <c r="RZO189" s="2242"/>
      <c r="RZP189" s="1360"/>
      <c r="RZQ189" s="1360"/>
      <c r="RZR189" s="1360"/>
      <c r="RZS189" s="1360"/>
      <c r="RZT189" s="1362"/>
      <c r="RZU189" s="955"/>
      <c r="RZV189" s="963"/>
      <c r="RZW189" s="2242"/>
      <c r="RZX189" s="1360"/>
      <c r="RZY189" s="1360"/>
      <c r="RZZ189" s="1360"/>
      <c r="SAA189" s="1360"/>
      <c r="SAB189" s="1362"/>
      <c r="SAC189" s="955"/>
      <c r="SAD189" s="963"/>
      <c r="SAE189" s="2242"/>
      <c r="SAF189" s="1360"/>
      <c r="SAG189" s="1360"/>
      <c r="SAH189" s="1360"/>
      <c r="SAI189" s="1360"/>
      <c r="SAJ189" s="1362"/>
      <c r="SAK189" s="955"/>
      <c r="SAL189" s="963"/>
      <c r="SAM189" s="2242"/>
      <c r="SAN189" s="1360"/>
      <c r="SAO189" s="1360"/>
      <c r="SAP189" s="1360"/>
      <c r="SAQ189" s="1360"/>
      <c r="SAR189" s="1362"/>
      <c r="SAS189" s="955"/>
      <c r="SAT189" s="963"/>
      <c r="SAU189" s="2242"/>
      <c r="SAV189" s="1360"/>
      <c r="SAW189" s="1360"/>
      <c r="SAX189" s="1360"/>
      <c r="SAY189" s="1360"/>
      <c r="SAZ189" s="1362"/>
      <c r="SBA189" s="955"/>
      <c r="SBB189" s="963"/>
      <c r="SBC189" s="2242"/>
      <c r="SBD189" s="1360"/>
      <c r="SBE189" s="1360"/>
      <c r="SBF189" s="1360"/>
      <c r="SBG189" s="1360"/>
      <c r="SBH189" s="1362"/>
      <c r="SBI189" s="955"/>
      <c r="SBJ189" s="963"/>
      <c r="SBK189" s="2242"/>
      <c r="SBL189" s="1360"/>
      <c r="SBM189" s="1360"/>
      <c r="SBN189" s="1360"/>
      <c r="SBO189" s="1360"/>
      <c r="SBP189" s="1362"/>
      <c r="SBQ189" s="955"/>
      <c r="SBR189" s="963"/>
      <c r="SBS189" s="2242"/>
      <c r="SBT189" s="1360"/>
      <c r="SBU189" s="1360"/>
      <c r="SBV189" s="1360"/>
      <c r="SBW189" s="1360"/>
      <c r="SBX189" s="1362"/>
      <c r="SBY189" s="955"/>
      <c r="SBZ189" s="963"/>
      <c r="SCA189" s="2242"/>
      <c r="SCB189" s="1360"/>
      <c r="SCC189" s="1360"/>
      <c r="SCD189" s="1360"/>
      <c r="SCE189" s="1360"/>
      <c r="SCF189" s="1362"/>
      <c r="SCG189" s="955"/>
      <c r="SCH189" s="963"/>
      <c r="SCI189" s="2242"/>
      <c r="SCJ189" s="1360"/>
      <c r="SCK189" s="1360"/>
      <c r="SCL189" s="1360"/>
      <c r="SCM189" s="1360"/>
      <c r="SCN189" s="1362"/>
      <c r="SCO189" s="955"/>
      <c r="SCP189" s="963"/>
      <c r="SCQ189" s="2242"/>
      <c r="SCR189" s="1360"/>
      <c r="SCS189" s="1360"/>
      <c r="SCT189" s="1360"/>
      <c r="SCU189" s="1360"/>
      <c r="SCV189" s="1362"/>
      <c r="SCW189" s="955"/>
      <c r="SCX189" s="963"/>
      <c r="SCY189" s="2242"/>
      <c r="SCZ189" s="1360"/>
      <c r="SDA189" s="1360"/>
      <c r="SDB189" s="1360"/>
      <c r="SDC189" s="1360"/>
      <c r="SDD189" s="1362"/>
      <c r="SDE189" s="955"/>
      <c r="SDF189" s="963"/>
      <c r="SDG189" s="2242"/>
      <c r="SDH189" s="1360"/>
      <c r="SDI189" s="1360"/>
      <c r="SDJ189" s="1360"/>
      <c r="SDK189" s="1360"/>
      <c r="SDL189" s="1362"/>
      <c r="SDM189" s="955"/>
      <c r="SDN189" s="963"/>
      <c r="SDO189" s="2242"/>
      <c r="SDP189" s="1360"/>
      <c r="SDQ189" s="1360"/>
      <c r="SDR189" s="1360"/>
      <c r="SDS189" s="1360"/>
      <c r="SDT189" s="1362"/>
      <c r="SDU189" s="955"/>
      <c r="SDV189" s="963"/>
      <c r="SDW189" s="2242"/>
      <c r="SDX189" s="1360"/>
      <c r="SDY189" s="1360"/>
      <c r="SDZ189" s="1360"/>
      <c r="SEA189" s="1360"/>
      <c r="SEB189" s="1362"/>
      <c r="SEC189" s="955"/>
      <c r="SED189" s="963"/>
      <c r="SEE189" s="2242"/>
      <c r="SEF189" s="1360"/>
      <c r="SEG189" s="1360"/>
      <c r="SEH189" s="1360"/>
      <c r="SEI189" s="1360"/>
      <c r="SEJ189" s="1362"/>
      <c r="SEK189" s="955"/>
      <c r="SEL189" s="963"/>
      <c r="SEM189" s="2242"/>
      <c r="SEN189" s="1360"/>
      <c r="SEO189" s="1360"/>
      <c r="SEP189" s="1360"/>
      <c r="SEQ189" s="1360"/>
      <c r="SER189" s="1362"/>
      <c r="SES189" s="955"/>
      <c r="SET189" s="963"/>
      <c r="SEU189" s="2242"/>
      <c r="SEV189" s="1360"/>
      <c r="SEW189" s="1360"/>
      <c r="SEX189" s="1360"/>
      <c r="SEY189" s="1360"/>
      <c r="SEZ189" s="1362"/>
      <c r="SFA189" s="955"/>
      <c r="SFB189" s="963"/>
      <c r="SFC189" s="2242"/>
      <c r="SFD189" s="1360"/>
      <c r="SFE189" s="1360"/>
      <c r="SFF189" s="1360"/>
      <c r="SFG189" s="1360"/>
      <c r="SFH189" s="1362"/>
      <c r="SFI189" s="955"/>
      <c r="SFJ189" s="963"/>
      <c r="SFK189" s="2242"/>
      <c r="SFL189" s="1360"/>
      <c r="SFM189" s="1360"/>
      <c r="SFN189" s="1360"/>
      <c r="SFO189" s="1360"/>
      <c r="SFP189" s="1362"/>
      <c r="SFQ189" s="955"/>
      <c r="SFR189" s="963"/>
      <c r="SFS189" s="2242"/>
      <c r="SFT189" s="1360"/>
      <c r="SFU189" s="1360"/>
      <c r="SFV189" s="1360"/>
      <c r="SFW189" s="1360"/>
      <c r="SFX189" s="1362"/>
      <c r="SFY189" s="955"/>
      <c r="SFZ189" s="963"/>
      <c r="SGA189" s="2242"/>
      <c r="SGB189" s="1360"/>
      <c r="SGC189" s="1360"/>
      <c r="SGD189" s="1360"/>
      <c r="SGE189" s="1360"/>
      <c r="SGF189" s="1362"/>
      <c r="SGG189" s="955"/>
      <c r="SGH189" s="963"/>
      <c r="SGI189" s="2242"/>
      <c r="SGJ189" s="1360"/>
      <c r="SGK189" s="1360"/>
      <c r="SGL189" s="1360"/>
      <c r="SGM189" s="1360"/>
      <c r="SGN189" s="1362"/>
      <c r="SGO189" s="955"/>
      <c r="SGP189" s="963"/>
      <c r="SGQ189" s="2242"/>
      <c r="SGR189" s="1360"/>
      <c r="SGS189" s="1360"/>
      <c r="SGT189" s="1360"/>
      <c r="SGU189" s="1360"/>
      <c r="SGV189" s="1362"/>
      <c r="SGW189" s="955"/>
      <c r="SGX189" s="963"/>
      <c r="SGY189" s="2242"/>
      <c r="SGZ189" s="1360"/>
      <c r="SHA189" s="1360"/>
      <c r="SHB189" s="1360"/>
      <c r="SHC189" s="1360"/>
      <c r="SHD189" s="1362"/>
      <c r="SHE189" s="955"/>
      <c r="SHF189" s="963"/>
      <c r="SHG189" s="2242"/>
      <c r="SHH189" s="1360"/>
      <c r="SHI189" s="1360"/>
      <c r="SHJ189" s="1360"/>
      <c r="SHK189" s="1360"/>
      <c r="SHL189" s="1362"/>
      <c r="SHM189" s="955"/>
      <c r="SHN189" s="963"/>
      <c r="SHO189" s="2242"/>
      <c r="SHP189" s="1360"/>
      <c r="SHQ189" s="1360"/>
      <c r="SHR189" s="1360"/>
      <c r="SHS189" s="1360"/>
      <c r="SHT189" s="1362"/>
      <c r="SHU189" s="955"/>
      <c r="SHV189" s="963"/>
      <c r="SHW189" s="2242"/>
      <c r="SHX189" s="1360"/>
      <c r="SHY189" s="1360"/>
      <c r="SHZ189" s="1360"/>
      <c r="SIA189" s="1360"/>
      <c r="SIB189" s="1362"/>
      <c r="SIC189" s="955"/>
      <c r="SID189" s="963"/>
      <c r="SIE189" s="2242"/>
      <c r="SIF189" s="1360"/>
      <c r="SIG189" s="1360"/>
      <c r="SIH189" s="1360"/>
      <c r="SII189" s="1360"/>
      <c r="SIJ189" s="1362"/>
      <c r="SIK189" s="955"/>
      <c r="SIL189" s="963"/>
      <c r="SIM189" s="2242"/>
      <c r="SIN189" s="1360"/>
      <c r="SIO189" s="1360"/>
      <c r="SIP189" s="1360"/>
      <c r="SIQ189" s="1360"/>
      <c r="SIR189" s="1362"/>
      <c r="SIS189" s="955"/>
      <c r="SIT189" s="963"/>
      <c r="SIU189" s="2242"/>
      <c r="SIV189" s="1360"/>
      <c r="SIW189" s="1360"/>
      <c r="SIX189" s="1360"/>
      <c r="SIY189" s="1360"/>
      <c r="SIZ189" s="1362"/>
      <c r="SJA189" s="955"/>
      <c r="SJB189" s="963"/>
      <c r="SJC189" s="2242"/>
      <c r="SJD189" s="1360"/>
      <c r="SJE189" s="1360"/>
      <c r="SJF189" s="1360"/>
      <c r="SJG189" s="1360"/>
      <c r="SJH189" s="1362"/>
      <c r="SJI189" s="955"/>
      <c r="SJJ189" s="963"/>
      <c r="SJK189" s="2242"/>
      <c r="SJL189" s="1360"/>
      <c r="SJM189" s="1360"/>
      <c r="SJN189" s="1360"/>
      <c r="SJO189" s="1360"/>
      <c r="SJP189" s="1362"/>
      <c r="SJQ189" s="955"/>
      <c r="SJR189" s="963"/>
      <c r="SJS189" s="2242"/>
      <c r="SJT189" s="1360"/>
      <c r="SJU189" s="1360"/>
      <c r="SJV189" s="1360"/>
      <c r="SJW189" s="1360"/>
      <c r="SJX189" s="1362"/>
      <c r="SJY189" s="955"/>
      <c r="SJZ189" s="963"/>
      <c r="SKA189" s="2242"/>
      <c r="SKB189" s="1360"/>
      <c r="SKC189" s="1360"/>
      <c r="SKD189" s="1360"/>
      <c r="SKE189" s="1360"/>
      <c r="SKF189" s="1362"/>
      <c r="SKG189" s="955"/>
      <c r="SKH189" s="963"/>
      <c r="SKI189" s="2242"/>
      <c r="SKJ189" s="1360"/>
      <c r="SKK189" s="1360"/>
      <c r="SKL189" s="1360"/>
      <c r="SKM189" s="1360"/>
      <c r="SKN189" s="1362"/>
      <c r="SKO189" s="955"/>
      <c r="SKP189" s="963"/>
      <c r="SKQ189" s="2242"/>
      <c r="SKR189" s="1360"/>
      <c r="SKS189" s="1360"/>
      <c r="SKT189" s="1360"/>
      <c r="SKU189" s="1360"/>
      <c r="SKV189" s="1362"/>
      <c r="SKW189" s="955"/>
      <c r="SKX189" s="963"/>
      <c r="SKY189" s="2242"/>
      <c r="SKZ189" s="1360"/>
      <c r="SLA189" s="1360"/>
      <c r="SLB189" s="1360"/>
      <c r="SLC189" s="1360"/>
      <c r="SLD189" s="1362"/>
      <c r="SLE189" s="955"/>
      <c r="SLF189" s="963"/>
      <c r="SLG189" s="2242"/>
      <c r="SLH189" s="1360"/>
      <c r="SLI189" s="1360"/>
      <c r="SLJ189" s="1360"/>
      <c r="SLK189" s="1360"/>
      <c r="SLL189" s="1362"/>
      <c r="SLM189" s="955"/>
      <c r="SLN189" s="963"/>
      <c r="SLO189" s="2242"/>
      <c r="SLP189" s="1360"/>
      <c r="SLQ189" s="1360"/>
      <c r="SLR189" s="1360"/>
      <c r="SLS189" s="1360"/>
      <c r="SLT189" s="1362"/>
      <c r="SLU189" s="955"/>
      <c r="SLV189" s="963"/>
      <c r="SLW189" s="2242"/>
      <c r="SLX189" s="1360"/>
      <c r="SLY189" s="1360"/>
      <c r="SLZ189" s="1360"/>
      <c r="SMA189" s="1360"/>
      <c r="SMB189" s="1362"/>
      <c r="SMC189" s="955"/>
      <c r="SMD189" s="963"/>
      <c r="SME189" s="2242"/>
      <c r="SMF189" s="1360"/>
      <c r="SMG189" s="1360"/>
      <c r="SMH189" s="1360"/>
      <c r="SMI189" s="1360"/>
      <c r="SMJ189" s="1362"/>
      <c r="SMK189" s="955"/>
      <c r="SML189" s="963"/>
      <c r="SMM189" s="2242"/>
      <c r="SMN189" s="1360"/>
      <c r="SMO189" s="1360"/>
      <c r="SMP189" s="1360"/>
      <c r="SMQ189" s="1360"/>
      <c r="SMR189" s="1362"/>
      <c r="SMS189" s="955"/>
      <c r="SMT189" s="963"/>
      <c r="SMU189" s="2242"/>
      <c r="SMV189" s="1360"/>
      <c r="SMW189" s="1360"/>
      <c r="SMX189" s="1360"/>
      <c r="SMY189" s="1360"/>
      <c r="SMZ189" s="1362"/>
      <c r="SNA189" s="955"/>
      <c r="SNB189" s="963"/>
      <c r="SNC189" s="2242"/>
      <c r="SND189" s="1360"/>
      <c r="SNE189" s="1360"/>
      <c r="SNF189" s="1360"/>
      <c r="SNG189" s="1360"/>
      <c r="SNH189" s="1362"/>
      <c r="SNI189" s="955"/>
      <c r="SNJ189" s="963"/>
      <c r="SNK189" s="2242"/>
      <c r="SNL189" s="1360"/>
      <c r="SNM189" s="1360"/>
      <c r="SNN189" s="1360"/>
      <c r="SNO189" s="1360"/>
      <c r="SNP189" s="1362"/>
      <c r="SNQ189" s="955"/>
      <c r="SNR189" s="963"/>
      <c r="SNS189" s="2242"/>
      <c r="SNT189" s="1360"/>
      <c r="SNU189" s="1360"/>
      <c r="SNV189" s="1360"/>
      <c r="SNW189" s="1360"/>
      <c r="SNX189" s="1362"/>
      <c r="SNY189" s="955"/>
      <c r="SNZ189" s="963"/>
      <c r="SOA189" s="2242"/>
      <c r="SOB189" s="1360"/>
      <c r="SOC189" s="1360"/>
      <c r="SOD189" s="1360"/>
      <c r="SOE189" s="1360"/>
      <c r="SOF189" s="1362"/>
      <c r="SOG189" s="955"/>
      <c r="SOH189" s="963"/>
      <c r="SOI189" s="2242"/>
      <c r="SOJ189" s="1360"/>
      <c r="SOK189" s="1360"/>
      <c r="SOL189" s="1360"/>
      <c r="SOM189" s="1360"/>
      <c r="SON189" s="1362"/>
      <c r="SOO189" s="955"/>
      <c r="SOP189" s="963"/>
      <c r="SOQ189" s="2242"/>
      <c r="SOR189" s="1360"/>
      <c r="SOS189" s="1360"/>
      <c r="SOT189" s="1360"/>
      <c r="SOU189" s="1360"/>
      <c r="SOV189" s="1362"/>
      <c r="SOW189" s="955"/>
      <c r="SOX189" s="963"/>
      <c r="SOY189" s="2242"/>
      <c r="SOZ189" s="1360"/>
      <c r="SPA189" s="1360"/>
      <c r="SPB189" s="1360"/>
      <c r="SPC189" s="1360"/>
      <c r="SPD189" s="1362"/>
      <c r="SPE189" s="955"/>
      <c r="SPF189" s="963"/>
      <c r="SPG189" s="2242"/>
      <c r="SPH189" s="1360"/>
      <c r="SPI189" s="1360"/>
      <c r="SPJ189" s="1360"/>
      <c r="SPK189" s="1360"/>
      <c r="SPL189" s="1362"/>
      <c r="SPM189" s="955"/>
      <c r="SPN189" s="963"/>
      <c r="SPO189" s="2242"/>
      <c r="SPP189" s="1360"/>
      <c r="SPQ189" s="1360"/>
      <c r="SPR189" s="1360"/>
      <c r="SPS189" s="1360"/>
      <c r="SPT189" s="1362"/>
      <c r="SPU189" s="955"/>
      <c r="SPV189" s="963"/>
      <c r="SPW189" s="2242"/>
      <c r="SPX189" s="1360"/>
      <c r="SPY189" s="1360"/>
      <c r="SPZ189" s="1360"/>
      <c r="SQA189" s="1360"/>
      <c r="SQB189" s="1362"/>
      <c r="SQC189" s="955"/>
      <c r="SQD189" s="963"/>
      <c r="SQE189" s="2242"/>
      <c r="SQF189" s="1360"/>
      <c r="SQG189" s="1360"/>
      <c r="SQH189" s="1360"/>
      <c r="SQI189" s="1360"/>
      <c r="SQJ189" s="1362"/>
      <c r="SQK189" s="955"/>
      <c r="SQL189" s="963"/>
      <c r="SQM189" s="2242"/>
      <c r="SQN189" s="1360"/>
      <c r="SQO189" s="1360"/>
      <c r="SQP189" s="1360"/>
      <c r="SQQ189" s="1360"/>
      <c r="SQR189" s="1362"/>
      <c r="SQS189" s="955"/>
      <c r="SQT189" s="963"/>
      <c r="SQU189" s="2242"/>
      <c r="SQV189" s="1360"/>
      <c r="SQW189" s="1360"/>
      <c r="SQX189" s="1360"/>
      <c r="SQY189" s="1360"/>
      <c r="SQZ189" s="1362"/>
      <c r="SRA189" s="955"/>
      <c r="SRB189" s="963"/>
      <c r="SRC189" s="2242"/>
      <c r="SRD189" s="1360"/>
      <c r="SRE189" s="1360"/>
      <c r="SRF189" s="1360"/>
      <c r="SRG189" s="1360"/>
      <c r="SRH189" s="1362"/>
      <c r="SRI189" s="955"/>
      <c r="SRJ189" s="963"/>
      <c r="SRK189" s="2242"/>
      <c r="SRL189" s="1360"/>
      <c r="SRM189" s="1360"/>
      <c r="SRN189" s="1360"/>
      <c r="SRO189" s="1360"/>
      <c r="SRP189" s="1362"/>
      <c r="SRQ189" s="955"/>
      <c r="SRR189" s="963"/>
      <c r="SRS189" s="2242"/>
      <c r="SRT189" s="1360"/>
      <c r="SRU189" s="1360"/>
      <c r="SRV189" s="1360"/>
      <c r="SRW189" s="1360"/>
      <c r="SRX189" s="1362"/>
      <c r="SRY189" s="955"/>
      <c r="SRZ189" s="963"/>
      <c r="SSA189" s="2242"/>
      <c r="SSB189" s="1360"/>
      <c r="SSC189" s="1360"/>
      <c r="SSD189" s="1360"/>
      <c r="SSE189" s="1360"/>
      <c r="SSF189" s="1362"/>
      <c r="SSG189" s="955"/>
      <c r="SSH189" s="963"/>
      <c r="SSI189" s="2242"/>
      <c r="SSJ189" s="1360"/>
      <c r="SSK189" s="1360"/>
      <c r="SSL189" s="1360"/>
      <c r="SSM189" s="1360"/>
      <c r="SSN189" s="1362"/>
      <c r="SSO189" s="955"/>
      <c r="SSP189" s="963"/>
      <c r="SSQ189" s="2242"/>
      <c r="SSR189" s="1360"/>
      <c r="SSS189" s="1360"/>
      <c r="SST189" s="1360"/>
      <c r="SSU189" s="1360"/>
      <c r="SSV189" s="1362"/>
      <c r="SSW189" s="955"/>
      <c r="SSX189" s="963"/>
      <c r="SSY189" s="2242"/>
      <c r="SSZ189" s="1360"/>
      <c r="STA189" s="1360"/>
      <c r="STB189" s="1360"/>
      <c r="STC189" s="1360"/>
      <c r="STD189" s="1362"/>
      <c r="STE189" s="955"/>
      <c r="STF189" s="963"/>
      <c r="STG189" s="2242"/>
      <c r="STH189" s="1360"/>
      <c r="STI189" s="1360"/>
      <c r="STJ189" s="1360"/>
      <c r="STK189" s="1360"/>
      <c r="STL189" s="1362"/>
      <c r="STM189" s="955"/>
      <c r="STN189" s="963"/>
      <c r="STO189" s="2242"/>
      <c r="STP189" s="1360"/>
      <c r="STQ189" s="1360"/>
      <c r="STR189" s="1360"/>
      <c r="STS189" s="1360"/>
      <c r="STT189" s="1362"/>
      <c r="STU189" s="955"/>
      <c r="STV189" s="963"/>
      <c r="STW189" s="2242"/>
      <c r="STX189" s="1360"/>
      <c r="STY189" s="1360"/>
      <c r="STZ189" s="1360"/>
      <c r="SUA189" s="1360"/>
      <c r="SUB189" s="1362"/>
      <c r="SUC189" s="955"/>
      <c r="SUD189" s="963"/>
      <c r="SUE189" s="2242"/>
      <c r="SUF189" s="1360"/>
      <c r="SUG189" s="1360"/>
      <c r="SUH189" s="1360"/>
      <c r="SUI189" s="1360"/>
      <c r="SUJ189" s="1362"/>
      <c r="SUK189" s="955"/>
      <c r="SUL189" s="963"/>
      <c r="SUM189" s="2242"/>
      <c r="SUN189" s="1360"/>
      <c r="SUO189" s="1360"/>
      <c r="SUP189" s="1360"/>
      <c r="SUQ189" s="1360"/>
      <c r="SUR189" s="1362"/>
      <c r="SUS189" s="955"/>
      <c r="SUT189" s="963"/>
      <c r="SUU189" s="2242"/>
      <c r="SUV189" s="1360"/>
      <c r="SUW189" s="1360"/>
      <c r="SUX189" s="1360"/>
      <c r="SUY189" s="1360"/>
      <c r="SUZ189" s="1362"/>
      <c r="SVA189" s="955"/>
      <c r="SVB189" s="963"/>
      <c r="SVC189" s="2242"/>
      <c r="SVD189" s="1360"/>
      <c r="SVE189" s="1360"/>
      <c r="SVF189" s="1360"/>
      <c r="SVG189" s="1360"/>
      <c r="SVH189" s="1362"/>
      <c r="SVI189" s="955"/>
      <c r="SVJ189" s="963"/>
      <c r="SVK189" s="2242"/>
      <c r="SVL189" s="1360"/>
      <c r="SVM189" s="1360"/>
      <c r="SVN189" s="1360"/>
      <c r="SVO189" s="1360"/>
      <c r="SVP189" s="1362"/>
      <c r="SVQ189" s="955"/>
      <c r="SVR189" s="963"/>
      <c r="SVS189" s="2242"/>
      <c r="SVT189" s="1360"/>
      <c r="SVU189" s="1360"/>
      <c r="SVV189" s="1360"/>
      <c r="SVW189" s="1360"/>
      <c r="SVX189" s="1362"/>
      <c r="SVY189" s="955"/>
      <c r="SVZ189" s="963"/>
      <c r="SWA189" s="2242"/>
      <c r="SWB189" s="1360"/>
      <c r="SWC189" s="1360"/>
      <c r="SWD189" s="1360"/>
      <c r="SWE189" s="1360"/>
      <c r="SWF189" s="1362"/>
      <c r="SWG189" s="955"/>
      <c r="SWH189" s="963"/>
      <c r="SWI189" s="2242"/>
      <c r="SWJ189" s="1360"/>
      <c r="SWK189" s="1360"/>
      <c r="SWL189" s="1360"/>
      <c r="SWM189" s="1360"/>
      <c r="SWN189" s="1362"/>
      <c r="SWO189" s="955"/>
      <c r="SWP189" s="963"/>
      <c r="SWQ189" s="2242"/>
      <c r="SWR189" s="1360"/>
      <c r="SWS189" s="1360"/>
      <c r="SWT189" s="1360"/>
      <c r="SWU189" s="1360"/>
      <c r="SWV189" s="1362"/>
      <c r="SWW189" s="955"/>
      <c r="SWX189" s="963"/>
      <c r="SWY189" s="2242"/>
      <c r="SWZ189" s="1360"/>
      <c r="SXA189" s="1360"/>
      <c r="SXB189" s="1360"/>
      <c r="SXC189" s="1360"/>
      <c r="SXD189" s="1362"/>
      <c r="SXE189" s="955"/>
      <c r="SXF189" s="963"/>
      <c r="SXG189" s="2242"/>
      <c r="SXH189" s="1360"/>
      <c r="SXI189" s="1360"/>
      <c r="SXJ189" s="1360"/>
      <c r="SXK189" s="1360"/>
      <c r="SXL189" s="1362"/>
      <c r="SXM189" s="955"/>
      <c r="SXN189" s="963"/>
      <c r="SXO189" s="2242"/>
      <c r="SXP189" s="1360"/>
      <c r="SXQ189" s="1360"/>
      <c r="SXR189" s="1360"/>
      <c r="SXS189" s="1360"/>
      <c r="SXT189" s="1362"/>
      <c r="SXU189" s="955"/>
      <c r="SXV189" s="963"/>
      <c r="SXW189" s="2242"/>
      <c r="SXX189" s="1360"/>
      <c r="SXY189" s="1360"/>
      <c r="SXZ189" s="1360"/>
      <c r="SYA189" s="1360"/>
      <c r="SYB189" s="1362"/>
      <c r="SYC189" s="955"/>
      <c r="SYD189" s="963"/>
      <c r="SYE189" s="2242"/>
      <c r="SYF189" s="1360"/>
      <c r="SYG189" s="1360"/>
      <c r="SYH189" s="1360"/>
      <c r="SYI189" s="1360"/>
      <c r="SYJ189" s="1362"/>
      <c r="SYK189" s="955"/>
      <c r="SYL189" s="963"/>
      <c r="SYM189" s="2242"/>
      <c r="SYN189" s="1360"/>
      <c r="SYO189" s="1360"/>
      <c r="SYP189" s="1360"/>
      <c r="SYQ189" s="1360"/>
      <c r="SYR189" s="1362"/>
      <c r="SYS189" s="955"/>
      <c r="SYT189" s="963"/>
      <c r="SYU189" s="2242"/>
      <c r="SYV189" s="1360"/>
      <c r="SYW189" s="1360"/>
      <c r="SYX189" s="1360"/>
      <c r="SYY189" s="1360"/>
      <c r="SYZ189" s="1362"/>
      <c r="SZA189" s="955"/>
      <c r="SZB189" s="963"/>
      <c r="SZC189" s="2242"/>
      <c r="SZD189" s="1360"/>
      <c r="SZE189" s="1360"/>
      <c r="SZF189" s="1360"/>
      <c r="SZG189" s="1360"/>
      <c r="SZH189" s="1362"/>
      <c r="SZI189" s="955"/>
      <c r="SZJ189" s="963"/>
      <c r="SZK189" s="2242"/>
      <c r="SZL189" s="1360"/>
      <c r="SZM189" s="1360"/>
      <c r="SZN189" s="1360"/>
      <c r="SZO189" s="1360"/>
      <c r="SZP189" s="1362"/>
      <c r="SZQ189" s="955"/>
      <c r="SZR189" s="963"/>
      <c r="SZS189" s="2242"/>
      <c r="SZT189" s="1360"/>
      <c r="SZU189" s="1360"/>
      <c r="SZV189" s="1360"/>
      <c r="SZW189" s="1360"/>
      <c r="SZX189" s="1362"/>
      <c r="SZY189" s="955"/>
      <c r="SZZ189" s="963"/>
      <c r="TAA189" s="2242"/>
      <c r="TAB189" s="1360"/>
      <c r="TAC189" s="1360"/>
      <c r="TAD189" s="1360"/>
      <c r="TAE189" s="1360"/>
      <c r="TAF189" s="1362"/>
      <c r="TAG189" s="955"/>
      <c r="TAH189" s="963"/>
      <c r="TAI189" s="2242"/>
      <c r="TAJ189" s="1360"/>
      <c r="TAK189" s="1360"/>
      <c r="TAL189" s="1360"/>
      <c r="TAM189" s="1360"/>
      <c r="TAN189" s="1362"/>
      <c r="TAO189" s="955"/>
      <c r="TAP189" s="963"/>
      <c r="TAQ189" s="2242"/>
      <c r="TAR189" s="1360"/>
      <c r="TAS189" s="1360"/>
      <c r="TAT189" s="1360"/>
      <c r="TAU189" s="1360"/>
      <c r="TAV189" s="1362"/>
      <c r="TAW189" s="955"/>
      <c r="TAX189" s="963"/>
      <c r="TAY189" s="2242"/>
      <c r="TAZ189" s="1360"/>
      <c r="TBA189" s="1360"/>
      <c r="TBB189" s="1360"/>
      <c r="TBC189" s="1360"/>
      <c r="TBD189" s="1362"/>
      <c r="TBE189" s="955"/>
      <c r="TBF189" s="963"/>
      <c r="TBG189" s="2242"/>
      <c r="TBH189" s="1360"/>
      <c r="TBI189" s="1360"/>
      <c r="TBJ189" s="1360"/>
      <c r="TBK189" s="1360"/>
      <c r="TBL189" s="1362"/>
      <c r="TBM189" s="955"/>
      <c r="TBN189" s="963"/>
      <c r="TBO189" s="2242"/>
      <c r="TBP189" s="1360"/>
      <c r="TBQ189" s="1360"/>
      <c r="TBR189" s="1360"/>
      <c r="TBS189" s="1360"/>
      <c r="TBT189" s="1362"/>
      <c r="TBU189" s="955"/>
      <c r="TBV189" s="963"/>
      <c r="TBW189" s="2242"/>
      <c r="TBX189" s="1360"/>
      <c r="TBY189" s="1360"/>
      <c r="TBZ189" s="1360"/>
      <c r="TCA189" s="1360"/>
      <c r="TCB189" s="1362"/>
      <c r="TCC189" s="955"/>
      <c r="TCD189" s="963"/>
      <c r="TCE189" s="2242"/>
      <c r="TCF189" s="1360"/>
      <c r="TCG189" s="1360"/>
      <c r="TCH189" s="1360"/>
      <c r="TCI189" s="1360"/>
      <c r="TCJ189" s="1362"/>
      <c r="TCK189" s="955"/>
      <c r="TCL189" s="963"/>
      <c r="TCM189" s="2242"/>
      <c r="TCN189" s="1360"/>
      <c r="TCO189" s="1360"/>
      <c r="TCP189" s="1360"/>
      <c r="TCQ189" s="1360"/>
      <c r="TCR189" s="1362"/>
      <c r="TCS189" s="955"/>
      <c r="TCT189" s="963"/>
      <c r="TCU189" s="2242"/>
      <c r="TCV189" s="1360"/>
      <c r="TCW189" s="1360"/>
      <c r="TCX189" s="1360"/>
      <c r="TCY189" s="1360"/>
      <c r="TCZ189" s="1362"/>
      <c r="TDA189" s="955"/>
      <c r="TDB189" s="963"/>
      <c r="TDC189" s="2242"/>
      <c r="TDD189" s="1360"/>
      <c r="TDE189" s="1360"/>
      <c r="TDF189" s="1360"/>
      <c r="TDG189" s="1360"/>
      <c r="TDH189" s="1362"/>
      <c r="TDI189" s="955"/>
      <c r="TDJ189" s="963"/>
      <c r="TDK189" s="2242"/>
      <c r="TDL189" s="1360"/>
      <c r="TDM189" s="1360"/>
      <c r="TDN189" s="1360"/>
      <c r="TDO189" s="1360"/>
      <c r="TDP189" s="1362"/>
      <c r="TDQ189" s="955"/>
      <c r="TDR189" s="963"/>
      <c r="TDS189" s="2242"/>
      <c r="TDT189" s="1360"/>
      <c r="TDU189" s="1360"/>
      <c r="TDV189" s="1360"/>
      <c r="TDW189" s="1360"/>
      <c r="TDX189" s="1362"/>
      <c r="TDY189" s="955"/>
      <c r="TDZ189" s="963"/>
      <c r="TEA189" s="2242"/>
      <c r="TEB189" s="1360"/>
      <c r="TEC189" s="1360"/>
      <c r="TED189" s="1360"/>
      <c r="TEE189" s="1360"/>
      <c r="TEF189" s="1362"/>
      <c r="TEG189" s="955"/>
      <c r="TEH189" s="963"/>
      <c r="TEI189" s="2242"/>
      <c r="TEJ189" s="1360"/>
      <c r="TEK189" s="1360"/>
      <c r="TEL189" s="1360"/>
      <c r="TEM189" s="1360"/>
      <c r="TEN189" s="1362"/>
      <c r="TEO189" s="955"/>
      <c r="TEP189" s="963"/>
      <c r="TEQ189" s="2242"/>
      <c r="TER189" s="1360"/>
      <c r="TES189" s="1360"/>
      <c r="TET189" s="1360"/>
      <c r="TEU189" s="1360"/>
      <c r="TEV189" s="1362"/>
      <c r="TEW189" s="955"/>
      <c r="TEX189" s="963"/>
      <c r="TEY189" s="2242"/>
      <c r="TEZ189" s="1360"/>
      <c r="TFA189" s="1360"/>
      <c r="TFB189" s="1360"/>
      <c r="TFC189" s="1360"/>
      <c r="TFD189" s="1362"/>
      <c r="TFE189" s="955"/>
      <c r="TFF189" s="963"/>
      <c r="TFG189" s="2242"/>
      <c r="TFH189" s="1360"/>
      <c r="TFI189" s="1360"/>
      <c r="TFJ189" s="1360"/>
      <c r="TFK189" s="1360"/>
      <c r="TFL189" s="1362"/>
      <c r="TFM189" s="955"/>
      <c r="TFN189" s="963"/>
      <c r="TFO189" s="2242"/>
      <c r="TFP189" s="1360"/>
      <c r="TFQ189" s="1360"/>
      <c r="TFR189" s="1360"/>
      <c r="TFS189" s="1360"/>
      <c r="TFT189" s="1362"/>
      <c r="TFU189" s="955"/>
      <c r="TFV189" s="963"/>
      <c r="TFW189" s="2242"/>
      <c r="TFX189" s="1360"/>
      <c r="TFY189" s="1360"/>
      <c r="TFZ189" s="1360"/>
      <c r="TGA189" s="1360"/>
      <c r="TGB189" s="1362"/>
      <c r="TGC189" s="955"/>
      <c r="TGD189" s="963"/>
      <c r="TGE189" s="2242"/>
      <c r="TGF189" s="1360"/>
      <c r="TGG189" s="1360"/>
      <c r="TGH189" s="1360"/>
      <c r="TGI189" s="1360"/>
      <c r="TGJ189" s="1362"/>
      <c r="TGK189" s="955"/>
      <c r="TGL189" s="963"/>
      <c r="TGM189" s="2242"/>
      <c r="TGN189" s="1360"/>
      <c r="TGO189" s="1360"/>
      <c r="TGP189" s="1360"/>
      <c r="TGQ189" s="1360"/>
      <c r="TGR189" s="1362"/>
      <c r="TGS189" s="955"/>
      <c r="TGT189" s="963"/>
      <c r="TGU189" s="2242"/>
      <c r="TGV189" s="1360"/>
      <c r="TGW189" s="1360"/>
      <c r="TGX189" s="1360"/>
      <c r="TGY189" s="1360"/>
      <c r="TGZ189" s="1362"/>
      <c r="THA189" s="955"/>
      <c r="THB189" s="963"/>
      <c r="THC189" s="2242"/>
      <c r="THD189" s="1360"/>
      <c r="THE189" s="1360"/>
      <c r="THF189" s="1360"/>
      <c r="THG189" s="1360"/>
      <c r="THH189" s="1362"/>
      <c r="THI189" s="955"/>
      <c r="THJ189" s="963"/>
      <c r="THK189" s="2242"/>
      <c r="THL189" s="1360"/>
      <c r="THM189" s="1360"/>
      <c r="THN189" s="1360"/>
      <c r="THO189" s="1360"/>
      <c r="THP189" s="1362"/>
      <c r="THQ189" s="955"/>
      <c r="THR189" s="963"/>
      <c r="THS189" s="2242"/>
      <c r="THT189" s="1360"/>
      <c r="THU189" s="1360"/>
      <c r="THV189" s="1360"/>
      <c r="THW189" s="1360"/>
      <c r="THX189" s="1362"/>
      <c r="THY189" s="955"/>
      <c r="THZ189" s="963"/>
      <c r="TIA189" s="2242"/>
      <c r="TIB189" s="1360"/>
      <c r="TIC189" s="1360"/>
      <c r="TID189" s="1360"/>
      <c r="TIE189" s="1360"/>
      <c r="TIF189" s="1362"/>
      <c r="TIG189" s="955"/>
      <c r="TIH189" s="963"/>
      <c r="TII189" s="2242"/>
      <c r="TIJ189" s="1360"/>
      <c r="TIK189" s="1360"/>
      <c r="TIL189" s="1360"/>
      <c r="TIM189" s="1360"/>
      <c r="TIN189" s="1362"/>
      <c r="TIO189" s="955"/>
      <c r="TIP189" s="963"/>
      <c r="TIQ189" s="2242"/>
      <c r="TIR189" s="1360"/>
      <c r="TIS189" s="1360"/>
      <c r="TIT189" s="1360"/>
      <c r="TIU189" s="1360"/>
      <c r="TIV189" s="1362"/>
      <c r="TIW189" s="955"/>
      <c r="TIX189" s="963"/>
      <c r="TIY189" s="2242"/>
      <c r="TIZ189" s="1360"/>
      <c r="TJA189" s="1360"/>
      <c r="TJB189" s="1360"/>
      <c r="TJC189" s="1360"/>
      <c r="TJD189" s="1362"/>
      <c r="TJE189" s="955"/>
      <c r="TJF189" s="963"/>
      <c r="TJG189" s="2242"/>
      <c r="TJH189" s="1360"/>
      <c r="TJI189" s="1360"/>
      <c r="TJJ189" s="1360"/>
      <c r="TJK189" s="1360"/>
      <c r="TJL189" s="1362"/>
      <c r="TJM189" s="955"/>
      <c r="TJN189" s="963"/>
      <c r="TJO189" s="2242"/>
      <c r="TJP189" s="1360"/>
      <c r="TJQ189" s="1360"/>
      <c r="TJR189" s="1360"/>
      <c r="TJS189" s="1360"/>
      <c r="TJT189" s="1362"/>
      <c r="TJU189" s="955"/>
      <c r="TJV189" s="963"/>
      <c r="TJW189" s="2242"/>
      <c r="TJX189" s="1360"/>
      <c r="TJY189" s="1360"/>
      <c r="TJZ189" s="1360"/>
      <c r="TKA189" s="1360"/>
      <c r="TKB189" s="1362"/>
      <c r="TKC189" s="955"/>
      <c r="TKD189" s="963"/>
      <c r="TKE189" s="2242"/>
      <c r="TKF189" s="1360"/>
      <c r="TKG189" s="1360"/>
      <c r="TKH189" s="1360"/>
      <c r="TKI189" s="1360"/>
      <c r="TKJ189" s="1362"/>
      <c r="TKK189" s="955"/>
      <c r="TKL189" s="963"/>
      <c r="TKM189" s="2242"/>
      <c r="TKN189" s="1360"/>
      <c r="TKO189" s="1360"/>
      <c r="TKP189" s="1360"/>
      <c r="TKQ189" s="1360"/>
      <c r="TKR189" s="1362"/>
      <c r="TKS189" s="955"/>
      <c r="TKT189" s="963"/>
      <c r="TKU189" s="2242"/>
      <c r="TKV189" s="1360"/>
      <c r="TKW189" s="1360"/>
      <c r="TKX189" s="1360"/>
      <c r="TKY189" s="1360"/>
      <c r="TKZ189" s="1362"/>
      <c r="TLA189" s="955"/>
      <c r="TLB189" s="963"/>
      <c r="TLC189" s="2242"/>
      <c r="TLD189" s="1360"/>
      <c r="TLE189" s="1360"/>
      <c r="TLF189" s="1360"/>
      <c r="TLG189" s="1360"/>
      <c r="TLH189" s="1362"/>
      <c r="TLI189" s="955"/>
      <c r="TLJ189" s="963"/>
      <c r="TLK189" s="2242"/>
      <c r="TLL189" s="1360"/>
      <c r="TLM189" s="1360"/>
      <c r="TLN189" s="1360"/>
      <c r="TLO189" s="1360"/>
      <c r="TLP189" s="1362"/>
      <c r="TLQ189" s="955"/>
      <c r="TLR189" s="963"/>
      <c r="TLS189" s="2242"/>
      <c r="TLT189" s="1360"/>
      <c r="TLU189" s="1360"/>
      <c r="TLV189" s="1360"/>
      <c r="TLW189" s="1360"/>
      <c r="TLX189" s="1362"/>
      <c r="TLY189" s="955"/>
      <c r="TLZ189" s="963"/>
      <c r="TMA189" s="2242"/>
      <c r="TMB189" s="1360"/>
      <c r="TMC189" s="1360"/>
      <c r="TMD189" s="1360"/>
      <c r="TME189" s="1360"/>
      <c r="TMF189" s="1362"/>
      <c r="TMG189" s="955"/>
      <c r="TMH189" s="963"/>
      <c r="TMI189" s="2242"/>
      <c r="TMJ189" s="1360"/>
      <c r="TMK189" s="1360"/>
      <c r="TML189" s="1360"/>
      <c r="TMM189" s="1360"/>
      <c r="TMN189" s="1362"/>
      <c r="TMO189" s="955"/>
      <c r="TMP189" s="963"/>
      <c r="TMQ189" s="2242"/>
      <c r="TMR189" s="1360"/>
      <c r="TMS189" s="1360"/>
      <c r="TMT189" s="1360"/>
      <c r="TMU189" s="1360"/>
      <c r="TMV189" s="1362"/>
      <c r="TMW189" s="955"/>
      <c r="TMX189" s="963"/>
      <c r="TMY189" s="2242"/>
      <c r="TMZ189" s="1360"/>
      <c r="TNA189" s="1360"/>
      <c r="TNB189" s="1360"/>
      <c r="TNC189" s="1360"/>
      <c r="TND189" s="1362"/>
      <c r="TNE189" s="955"/>
      <c r="TNF189" s="963"/>
      <c r="TNG189" s="2242"/>
      <c r="TNH189" s="1360"/>
      <c r="TNI189" s="1360"/>
      <c r="TNJ189" s="1360"/>
      <c r="TNK189" s="1360"/>
      <c r="TNL189" s="1362"/>
      <c r="TNM189" s="955"/>
      <c r="TNN189" s="963"/>
      <c r="TNO189" s="2242"/>
      <c r="TNP189" s="1360"/>
      <c r="TNQ189" s="1360"/>
      <c r="TNR189" s="1360"/>
      <c r="TNS189" s="1360"/>
      <c r="TNT189" s="1362"/>
      <c r="TNU189" s="955"/>
      <c r="TNV189" s="963"/>
      <c r="TNW189" s="2242"/>
      <c r="TNX189" s="1360"/>
      <c r="TNY189" s="1360"/>
      <c r="TNZ189" s="1360"/>
      <c r="TOA189" s="1360"/>
      <c r="TOB189" s="1362"/>
      <c r="TOC189" s="955"/>
      <c r="TOD189" s="963"/>
      <c r="TOE189" s="2242"/>
      <c r="TOF189" s="1360"/>
      <c r="TOG189" s="1360"/>
      <c r="TOH189" s="1360"/>
      <c r="TOI189" s="1360"/>
      <c r="TOJ189" s="1362"/>
      <c r="TOK189" s="955"/>
      <c r="TOL189" s="963"/>
      <c r="TOM189" s="2242"/>
      <c r="TON189" s="1360"/>
      <c r="TOO189" s="1360"/>
      <c r="TOP189" s="1360"/>
      <c r="TOQ189" s="1360"/>
      <c r="TOR189" s="1362"/>
      <c r="TOS189" s="955"/>
      <c r="TOT189" s="963"/>
      <c r="TOU189" s="2242"/>
      <c r="TOV189" s="1360"/>
      <c r="TOW189" s="1360"/>
      <c r="TOX189" s="1360"/>
      <c r="TOY189" s="1360"/>
      <c r="TOZ189" s="1362"/>
      <c r="TPA189" s="955"/>
      <c r="TPB189" s="963"/>
      <c r="TPC189" s="2242"/>
      <c r="TPD189" s="1360"/>
      <c r="TPE189" s="1360"/>
      <c r="TPF189" s="1360"/>
      <c r="TPG189" s="1360"/>
      <c r="TPH189" s="1362"/>
      <c r="TPI189" s="955"/>
      <c r="TPJ189" s="963"/>
      <c r="TPK189" s="2242"/>
      <c r="TPL189" s="1360"/>
      <c r="TPM189" s="1360"/>
      <c r="TPN189" s="1360"/>
      <c r="TPO189" s="1360"/>
      <c r="TPP189" s="1362"/>
      <c r="TPQ189" s="955"/>
      <c r="TPR189" s="963"/>
      <c r="TPS189" s="2242"/>
      <c r="TPT189" s="1360"/>
      <c r="TPU189" s="1360"/>
      <c r="TPV189" s="1360"/>
      <c r="TPW189" s="1360"/>
      <c r="TPX189" s="1362"/>
      <c r="TPY189" s="955"/>
      <c r="TPZ189" s="963"/>
      <c r="TQA189" s="2242"/>
      <c r="TQB189" s="1360"/>
      <c r="TQC189" s="1360"/>
      <c r="TQD189" s="1360"/>
      <c r="TQE189" s="1360"/>
      <c r="TQF189" s="1362"/>
      <c r="TQG189" s="955"/>
      <c r="TQH189" s="963"/>
      <c r="TQI189" s="2242"/>
      <c r="TQJ189" s="1360"/>
      <c r="TQK189" s="1360"/>
      <c r="TQL189" s="1360"/>
      <c r="TQM189" s="1360"/>
      <c r="TQN189" s="1362"/>
      <c r="TQO189" s="955"/>
      <c r="TQP189" s="963"/>
      <c r="TQQ189" s="2242"/>
      <c r="TQR189" s="1360"/>
      <c r="TQS189" s="1360"/>
      <c r="TQT189" s="1360"/>
      <c r="TQU189" s="1360"/>
      <c r="TQV189" s="1362"/>
      <c r="TQW189" s="955"/>
      <c r="TQX189" s="963"/>
      <c r="TQY189" s="2242"/>
      <c r="TQZ189" s="1360"/>
      <c r="TRA189" s="1360"/>
      <c r="TRB189" s="1360"/>
      <c r="TRC189" s="1360"/>
      <c r="TRD189" s="1362"/>
      <c r="TRE189" s="955"/>
      <c r="TRF189" s="963"/>
      <c r="TRG189" s="2242"/>
      <c r="TRH189" s="1360"/>
      <c r="TRI189" s="1360"/>
      <c r="TRJ189" s="1360"/>
      <c r="TRK189" s="1360"/>
      <c r="TRL189" s="1362"/>
      <c r="TRM189" s="955"/>
      <c r="TRN189" s="963"/>
      <c r="TRO189" s="2242"/>
      <c r="TRP189" s="1360"/>
      <c r="TRQ189" s="1360"/>
      <c r="TRR189" s="1360"/>
      <c r="TRS189" s="1360"/>
      <c r="TRT189" s="1362"/>
      <c r="TRU189" s="955"/>
      <c r="TRV189" s="963"/>
      <c r="TRW189" s="2242"/>
      <c r="TRX189" s="1360"/>
      <c r="TRY189" s="1360"/>
      <c r="TRZ189" s="1360"/>
      <c r="TSA189" s="1360"/>
      <c r="TSB189" s="1362"/>
      <c r="TSC189" s="955"/>
      <c r="TSD189" s="963"/>
      <c r="TSE189" s="2242"/>
      <c r="TSF189" s="1360"/>
      <c r="TSG189" s="1360"/>
      <c r="TSH189" s="1360"/>
      <c r="TSI189" s="1360"/>
      <c r="TSJ189" s="1362"/>
      <c r="TSK189" s="955"/>
      <c r="TSL189" s="963"/>
      <c r="TSM189" s="2242"/>
      <c r="TSN189" s="1360"/>
      <c r="TSO189" s="1360"/>
      <c r="TSP189" s="1360"/>
      <c r="TSQ189" s="1360"/>
      <c r="TSR189" s="1362"/>
      <c r="TSS189" s="955"/>
      <c r="TST189" s="963"/>
      <c r="TSU189" s="2242"/>
      <c r="TSV189" s="1360"/>
      <c r="TSW189" s="1360"/>
      <c r="TSX189" s="1360"/>
      <c r="TSY189" s="1360"/>
      <c r="TSZ189" s="1362"/>
      <c r="TTA189" s="955"/>
      <c r="TTB189" s="963"/>
      <c r="TTC189" s="2242"/>
      <c r="TTD189" s="1360"/>
      <c r="TTE189" s="1360"/>
      <c r="TTF189" s="1360"/>
      <c r="TTG189" s="1360"/>
      <c r="TTH189" s="1362"/>
      <c r="TTI189" s="955"/>
      <c r="TTJ189" s="963"/>
      <c r="TTK189" s="2242"/>
      <c r="TTL189" s="1360"/>
      <c r="TTM189" s="1360"/>
      <c r="TTN189" s="1360"/>
      <c r="TTO189" s="1360"/>
      <c r="TTP189" s="1362"/>
      <c r="TTQ189" s="955"/>
      <c r="TTR189" s="963"/>
      <c r="TTS189" s="2242"/>
      <c r="TTT189" s="1360"/>
      <c r="TTU189" s="1360"/>
      <c r="TTV189" s="1360"/>
      <c r="TTW189" s="1360"/>
      <c r="TTX189" s="1362"/>
      <c r="TTY189" s="955"/>
      <c r="TTZ189" s="963"/>
      <c r="TUA189" s="2242"/>
      <c r="TUB189" s="1360"/>
      <c r="TUC189" s="1360"/>
      <c r="TUD189" s="1360"/>
      <c r="TUE189" s="1360"/>
      <c r="TUF189" s="1362"/>
      <c r="TUG189" s="955"/>
      <c r="TUH189" s="963"/>
      <c r="TUI189" s="2242"/>
      <c r="TUJ189" s="1360"/>
      <c r="TUK189" s="1360"/>
      <c r="TUL189" s="1360"/>
      <c r="TUM189" s="1360"/>
      <c r="TUN189" s="1362"/>
      <c r="TUO189" s="955"/>
      <c r="TUP189" s="963"/>
      <c r="TUQ189" s="2242"/>
      <c r="TUR189" s="1360"/>
      <c r="TUS189" s="1360"/>
      <c r="TUT189" s="1360"/>
      <c r="TUU189" s="1360"/>
      <c r="TUV189" s="1362"/>
      <c r="TUW189" s="955"/>
      <c r="TUX189" s="963"/>
      <c r="TUY189" s="2242"/>
      <c r="TUZ189" s="1360"/>
      <c r="TVA189" s="1360"/>
      <c r="TVB189" s="1360"/>
      <c r="TVC189" s="1360"/>
      <c r="TVD189" s="1362"/>
      <c r="TVE189" s="955"/>
      <c r="TVF189" s="963"/>
      <c r="TVG189" s="2242"/>
      <c r="TVH189" s="1360"/>
      <c r="TVI189" s="1360"/>
      <c r="TVJ189" s="1360"/>
      <c r="TVK189" s="1360"/>
      <c r="TVL189" s="1362"/>
      <c r="TVM189" s="955"/>
      <c r="TVN189" s="963"/>
      <c r="TVO189" s="2242"/>
      <c r="TVP189" s="1360"/>
      <c r="TVQ189" s="1360"/>
      <c r="TVR189" s="1360"/>
      <c r="TVS189" s="1360"/>
      <c r="TVT189" s="1362"/>
      <c r="TVU189" s="955"/>
      <c r="TVV189" s="963"/>
      <c r="TVW189" s="2242"/>
      <c r="TVX189" s="1360"/>
      <c r="TVY189" s="1360"/>
      <c r="TVZ189" s="1360"/>
      <c r="TWA189" s="1360"/>
      <c r="TWB189" s="1362"/>
      <c r="TWC189" s="955"/>
      <c r="TWD189" s="963"/>
      <c r="TWE189" s="2242"/>
      <c r="TWF189" s="1360"/>
      <c r="TWG189" s="1360"/>
      <c r="TWH189" s="1360"/>
      <c r="TWI189" s="1360"/>
      <c r="TWJ189" s="1362"/>
      <c r="TWK189" s="955"/>
      <c r="TWL189" s="963"/>
      <c r="TWM189" s="2242"/>
      <c r="TWN189" s="1360"/>
      <c r="TWO189" s="1360"/>
      <c r="TWP189" s="1360"/>
      <c r="TWQ189" s="1360"/>
      <c r="TWR189" s="1362"/>
      <c r="TWS189" s="955"/>
      <c r="TWT189" s="963"/>
      <c r="TWU189" s="2242"/>
      <c r="TWV189" s="1360"/>
      <c r="TWW189" s="1360"/>
      <c r="TWX189" s="1360"/>
      <c r="TWY189" s="1360"/>
      <c r="TWZ189" s="1362"/>
      <c r="TXA189" s="955"/>
      <c r="TXB189" s="963"/>
      <c r="TXC189" s="2242"/>
      <c r="TXD189" s="1360"/>
      <c r="TXE189" s="1360"/>
      <c r="TXF189" s="1360"/>
      <c r="TXG189" s="1360"/>
      <c r="TXH189" s="1362"/>
      <c r="TXI189" s="955"/>
      <c r="TXJ189" s="963"/>
      <c r="TXK189" s="2242"/>
      <c r="TXL189" s="1360"/>
      <c r="TXM189" s="1360"/>
      <c r="TXN189" s="1360"/>
      <c r="TXO189" s="1360"/>
      <c r="TXP189" s="1362"/>
      <c r="TXQ189" s="955"/>
      <c r="TXR189" s="963"/>
      <c r="TXS189" s="2242"/>
      <c r="TXT189" s="1360"/>
      <c r="TXU189" s="1360"/>
      <c r="TXV189" s="1360"/>
      <c r="TXW189" s="1360"/>
      <c r="TXX189" s="1362"/>
      <c r="TXY189" s="955"/>
      <c r="TXZ189" s="963"/>
      <c r="TYA189" s="2242"/>
      <c r="TYB189" s="1360"/>
      <c r="TYC189" s="1360"/>
      <c r="TYD189" s="1360"/>
      <c r="TYE189" s="1360"/>
      <c r="TYF189" s="1362"/>
      <c r="TYG189" s="955"/>
      <c r="TYH189" s="963"/>
      <c r="TYI189" s="2242"/>
      <c r="TYJ189" s="1360"/>
      <c r="TYK189" s="1360"/>
      <c r="TYL189" s="1360"/>
      <c r="TYM189" s="1360"/>
      <c r="TYN189" s="1362"/>
      <c r="TYO189" s="955"/>
      <c r="TYP189" s="963"/>
      <c r="TYQ189" s="2242"/>
      <c r="TYR189" s="1360"/>
      <c r="TYS189" s="1360"/>
      <c r="TYT189" s="1360"/>
      <c r="TYU189" s="1360"/>
      <c r="TYV189" s="1362"/>
      <c r="TYW189" s="955"/>
      <c r="TYX189" s="963"/>
      <c r="TYY189" s="2242"/>
      <c r="TYZ189" s="1360"/>
      <c r="TZA189" s="1360"/>
      <c r="TZB189" s="1360"/>
      <c r="TZC189" s="1360"/>
      <c r="TZD189" s="1362"/>
      <c r="TZE189" s="955"/>
      <c r="TZF189" s="963"/>
      <c r="TZG189" s="2242"/>
      <c r="TZH189" s="1360"/>
      <c r="TZI189" s="1360"/>
      <c r="TZJ189" s="1360"/>
      <c r="TZK189" s="1360"/>
      <c r="TZL189" s="1362"/>
      <c r="TZM189" s="955"/>
      <c r="TZN189" s="963"/>
      <c r="TZO189" s="2242"/>
      <c r="TZP189" s="1360"/>
      <c r="TZQ189" s="1360"/>
      <c r="TZR189" s="1360"/>
      <c r="TZS189" s="1360"/>
      <c r="TZT189" s="1362"/>
      <c r="TZU189" s="955"/>
      <c r="TZV189" s="963"/>
      <c r="TZW189" s="2242"/>
      <c r="TZX189" s="1360"/>
      <c r="TZY189" s="1360"/>
      <c r="TZZ189" s="1360"/>
      <c r="UAA189" s="1360"/>
      <c r="UAB189" s="1362"/>
      <c r="UAC189" s="955"/>
      <c r="UAD189" s="963"/>
      <c r="UAE189" s="2242"/>
      <c r="UAF189" s="1360"/>
      <c r="UAG189" s="1360"/>
      <c r="UAH189" s="1360"/>
      <c r="UAI189" s="1360"/>
      <c r="UAJ189" s="1362"/>
      <c r="UAK189" s="955"/>
      <c r="UAL189" s="963"/>
      <c r="UAM189" s="2242"/>
      <c r="UAN189" s="1360"/>
      <c r="UAO189" s="1360"/>
      <c r="UAP189" s="1360"/>
      <c r="UAQ189" s="1360"/>
      <c r="UAR189" s="1362"/>
      <c r="UAS189" s="955"/>
      <c r="UAT189" s="963"/>
      <c r="UAU189" s="2242"/>
      <c r="UAV189" s="1360"/>
      <c r="UAW189" s="1360"/>
      <c r="UAX189" s="1360"/>
      <c r="UAY189" s="1360"/>
      <c r="UAZ189" s="1362"/>
      <c r="UBA189" s="955"/>
      <c r="UBB189" s="963"/>
      <c r="UBC189" s="2242"/>
      <c r="UBD189" s="1360"/>
      <c r="UBE189" s="1360"/>
      <c r="UBF189" s="1360"/>
      <c r="UBG189" s="1360"/>
      <c r="UBH189" s="1362"/>
      <c r="UBI189" s="955"/>
      <c r="UBJ189" s="963"/>
      <c r="UBK189" s="2242"/>
      <c r="UBL189" s="1360"/>
      <c r="UBM189" s="1360"/>
      <c r="UBN189" s="1360"/>
      <c r="UBO189" s="1360"/>
      <c r="UBP189" s="1362"/>
      <c r="UBQ189" s="955"/>
      <c r="UBR189" s="963"/>
      <c r="UBS189" s="2242"/>
      <c r="UBT189" s="1360"/>
      <c r="UBU189" s="1360"/>
      <c r="UBV189" s="1360"/>
      <c r="UBW189" s="1360"/>
      <c r="UBX189" s="1362"/>
      <c r="UBY189" s="955"/>
      <c r="UBZ189" s="963"/>
      <c r="UCA189" s="2242"/>
      <c r="UCB189" s="1360"/>
      <c r="UCC189" s="1360"/>
      <c r="UCD189" s="1360"/>
      <c r="UCE189" s="1360"/>
      <c r="UCF189" s="1362"/>
      <c r="UCG189" s="955"/>
      <c r="UCH189" s="963"/>
      <c r="UCI189" s="2242"/>
      <c r="UCJ189" s="1360"/>
      <c r="UCK189" s="1360"/>
      <c r="UCL189" s="1360"/>
      <c r="UCM189" s="1360"/>
      <c r="UCN189" s="1362"/>
      <c r="UCO189" s="955"/>
      <c r="UCP189" s="963"/>
      <c r="UCQ189" s="2242"/>
      <c r="UCR189" s="1360"/>
      <c r="UCS189" s="1360"/>
      <c r="UCT189" s="1360"/>
      <c r="UCU189" s="1360"/>
      <c r="UCV189" s="1362"/>
      <c r="UCW189" s="955"/>
      <c r="UCX189" s="963"/>
      <c r="UCY189" s="2242"/>
      <c r="UCZ189" s="1360"/>
      <c r="UDA189" s="1360"/>
      <c r="UDB189" s="1360"/>
      <c r="UDC189" s="1360"/>
      <c r="UDD189" s="1362"/>
      <c r="UDE189" s="955"/>
      <c r="UDF189" s="963"/>
      <c r="UDG189" s="2242"/>
      <c r="UDH189" s="1360"/>
      <c r="UDI189" s="1360"/>
      <c r="UDJ189" s="1360"/>
      <c r="UDK189" s="1360"/>
      <c r="UDL189" s="1362"/>
      <c r="UDM189" s="955"/>
      <c r="UDN189" s="963"/>
      <c r="UDO189" s="2242"/>
      <c r="UDP189" s="1360"/>
      <c r="UDQ189" s="1360"/>
      <c r="UDR189" s="1360"/>
      <c r="UDS189" s="1360"/>
      <c r="UDT189" s="1362"/>
      <c r="UDU189" s="955"/>
      <c r="UDV189" s="963"/>
      <c r="UDW189" s="2242"/>
      <c r="UDX189" s="1360"/>
      <c r="UDY189" s="1360"/>
      <c r="UDZ189" s="1360"/>
      <c r="UEA189" s="1360"/>
      <c r="UEB189" s="1362"/>
      <c r="UEC189" s="955"/>
      <c r="UED189" s="963"/>
      <c r="UEE189" s="2242"/>
      <c r="UEF189" s="1360"/>
      <c r="UEG189" s="1360"/>
      <c r="UEH189" s="1360"/>
      <c r="UEI189" s="1360"/>
      <c r="UEJ189" s="1362"/>
      <c r="UEK189" s="955"/>
      <c r="UEL189" s="963"/>
      <c r="UEM189" s="2242"/>
      <c r="UEN189" s="1360"/>
      <c r="UEO189" s="1360"/>
      <c r="UEP189" s="1360"/>
      <c r="UEQ189" s="1360"/>
      <c r="UER189" s="1362"/>
      <c r="UES189" s="955"/>
      <c r="UET189" s="963"/>
      <c r="UEU189" s="2242"/>
      <c r="UEV189" s="1360"/>
      <c r="UEW189" s="1360"/>
      <c r="UEX189" s="1360"/>
      <c r="UEY189" s="1360"/>
      <c r="UEZ189" s="1362"/>
      <c r="UFA189" s="955"/>
      <c r="UFB189" s="963"/>
      <c r="UFC189" s="2242"/>
      <c r="UFD189" s="1360"/>
      <c r="UFE189" s="1360"/>
      <c r="UFF189" s="1360"/>
      <c r="UFG189" s="1360"/>
      <c r="UFH189" s="1362"/>
      <c r="UFI189" s="955"/>
      <c r="UFJ189" s="963"/>
      <c r="UFK189" s="2242"/>
      <c r="UFL189" s="1360"/>
      <c r="UFM189" s="1360"/>
      <c r="UFN189" s="1360"/>
      <c r="UFO189" s="1360"/>
      <c r="UFP189" s="1362"/>
      <c r="UFQ189" s="955"/>
      <c r="UFR189" s="963"/>
      <c r="UFS189" s="2242"/>
      <c r="UFT189" s="1360"/>
      <c r="UFU189" s="1360"/>
      <c r="UFV189" s="1360"/>
      <c r="UFW189" s="1360"/>
      <c r="UFX189" s="1362"/>
      <c r="UFY189" s="955"/>
      <c r="UFZ189" s="963"/>
      <c r="UGA189" s="2242"/>
      <c r="UGB189" s="1360"/>
      <c r="UGC189" s="1360"/>
      <c r="UGD189" s="1360"/>
      <c r="UGE189" s="1360"/>
      <c r="UGF189" s="1362"/>
      <c r="UGG189" s="955"/>
      <c r="UGH189" s="963"/>
      <c r="UGI189" s="2242"/>
      <c r="UGJ189" s="1360"/>
      <c r="UGK189" s="1360"/>
      <c r="UGL189" s="1360"/>
      <c r="UGM189" s="1360"/>
      <c r="UGN189" s="1362"/>
      <c r="UGO189" s="955"/>
      <c r="UGP189" s="963"/>
      <c r="UGQ189" s="2242"/>
      <c r="UGR189" s="1360"/>
      <c r="UGS189" s="1360"/>
      <c r="UGT189" s="1360"/>
      <c r="UGU189" s="1360"/>
      <c r="UGV189" s="1362"/>
      <c r="UGW189" s="955"/>
      <c r="UGX189" s="963"/>
      <c r="UGY189" s="2242"/>
      <c r="UGZ189" s="1360"/>
      <c r="UHA189" s="1360"/>
      <c r="UHB189" s="1360"/>
      <c r="UHC189" s="1360"/>
      <c r="UHD189" s="1362"/>
      <c r="UHE189" s="955"/>
      <c r="UHF189" s="963"/>
      <c r="UHG189" s="2242"/>
      <c r="UHH189" s="1360"/>
      <c r="UHI189" s="1360"/>
      <c r="UHJ189" s="1360"/>
      <c r="UHK189" s="1360"/>
      <c r="UHL189" s="1362"/>
      <c r="UHM189" s="955"/>
      <c r="UHN189" s="963"/>
      <c r="UHO189" s="2242"/>
      <c r="UHP189" s="1360"/>
      <c r="UHQ189" s="1360"/>
      <c r="UHR189" s="1360"/>
      <c r="UHS189" s="1360"/>
      <c r="UHT189" s="1362"/>
      <c r="UHU189" s="955"/>
      <c r="UHV189" s="963"/>
      <c r="UHW189" s="2242"/>
      <c r="UHX189" s="1360"/>
      <c r="UHY189" s="1360"/>
      <c r="UHZ189" s="1360"/>
      <c r="UIA189" s="1360"/>
      <c r="UIB189" s="1362"/>
      <c r="UIC189" s="955"/>
      <c r="UID189" s="963"/>
      <c r="UIE189" s="2242"/>
      <c r="UIF189" s="1360"/>
      <c r="UIG189" s="1360"/>
      <c r="UIH189" s="1360"/>
      <c r="UII189" s="1360"/>
      <c r="UIJ189" s="1362"/>
      <c r="UIK189" s="955"/>
      <c r="UIL189" s="963"/>
      <c r="UIM189" s="2242"/>
      <c r="UIN189" s="1360"/>
      <c r="UIO189" s="1360"/>
      <c r="UIP189" s="1360"/>
      <c r="UIQ189" s="1360"/>
      <c r="UIR189" s="1362"/>
      <c r="UIS189" s="955"/>
      <c r="UIT189" s="963"/>
      <c r="UIU189" s="2242"/>
      <c r="UIV189" s="1360"/>
      <c r="UIW189" s="1360"/>
      <c r="UIX189" s="1360"/>
      <c r="UIY189" s="1360"/>
      <c r="UIZ189" s="1362"/>
      <c r="UJA189" s="955"/>
      <c r="UJB189" s="963"/>
      <c r="UJC189" s="2242"/>
      <c r="UJD189" s="1360"/>
      <c r="UJE189" s="1360"/>
      <c r="UJF189" s="1360"/>
      <c r="UJG189" s="1360"/>
      <c r="UJH189" s="1362"/>
      <c r="UJI189" s="955"/>
      <c r="UJJ189" s="963"/>
      <c r="UJK189" s="2242"/>
      <c r="UJL189" s="1360"/>
      <c r="UJM189" s="1360"/>
      <c r="UJN189" s="1360"/>
      <c r="UJO189" s="1360"/>
      <c r="UJP189" s="1362"/>
      <c r="UJQ189" s="955"/>
      <c r="UJR189" s="963"/>
      <c r="UJS189" s="2242"/>
      <c r="UJT189" s="1360"/>
      <c r="UJU189" s="1360"/>
      <c r="UJV189" s="1360"/>
      <c r="UJW189" s="1360"/>
      <c r="UJX189" s="1362"/>
      <c r="UJY189" s="955"/>
      <c r="UJZ189" s="963"/>
      <c r="UKA189" s="2242"/>
      <c r="UKB189" s="1360"/>
      <c r="UKC189" s="1360"/>
      <c r="UKD189" s="1360"/>
      <c r="UKE189" s="1360"/>
      <c r="UKF189" s="1362"/>
      <c r="UKG189" s="955"/>
      <c r="UKH189" s="963"/>
      <c r="UKI189" s="2242"/>
      <c r="UKJ189" s="1360"/>
      <c r="UKK189" s="1360"/>
      <c r="UKL189" s="1360"/>
      <c r="UKM189" s="1360"/>
      <c r="UKN189" s="1362"/>
      <c r="UKO189" s="955"/>
      <c r="UKP189" s="963"/>
      <c r="UKQ189" s="2242"/>
      <c r="UKR189" s="1360"/>
      <c r="UKS189" s="1360"/>
      <c r="UKT189" s="1360"/>
      <c r="UKU189" s="1360"/>
      <c r="UKV189" s="1362"/>
      <c r="UKW189" s="955"/>
      <c r="UKX189" s="963"/>
      <c r="UKY189" s="2242"/>
      <c r="UKZ189" s="1360"/>
      <c r="ULA189" s="1360"/>
      <c r="ULB189" s="1360"/>
      <c r="ULC189" s="1360"/>
      <c r="ULD189" s="1362"/>
      <c r="ULE189" s="955"/>
      <c r="ULF189" s="963"/>
      <c r="ULG189" s="2242"/>
      <c r="ULH189" s="1360"/>
      <c r="ULI189" s="1360"/>
      <c r="ULJ189" s="1360"/>
      <c r="ULK189" s="1360"/>
      <c r="ULL189" s="1362"/>
      <c r="ULM189" s="955"/>
      <c r="ULN189" s="963"/>
      <c r="ULO189" s="2242"/>
      <c r="ULP189" s="1360"/>
      <c r="ULQ189" s="1360"/>
      <c r="ULR189" s="1360"/>
      <c r="ULS189" s="1360"/>
      <c r="ULT189" s="1362"/>
      <c r="ULU189" s="955"/>
      <c r="ULV189" s="963"/>
      <c r="ULW189" s="2242"/>
      <c r="ULX189" s="1360"/>
      <c r="ULY189" s="1360"/>
      <c r="ULZ189" s="1360"/>
      <c r="UMA189" s="1360"/>
      <c r="UMB189" s="1362"/>
      <c r="UMC189" s="955"/>
      <c r="UMD189" s="963"/>
      <c r="UME189" s="2242"/>
      <c r="UMF189" s="1360"/>
      <c r="UMG189" s="1360"/>
      <c r="UMH189" s="1360"/>
      <c r="UMI189" s="1360"/>
      <c r="UMJ189" s="1362"/>
      <c r="UMK189" s="955"/>
      <c r="UML189" s="963"/>
      <c r="UMM189" s="2242"/>
      <c r="UMN189" s="1360"/>
      <c r="UMO189" s="1360"/>
      <c r="UMP189" s="1360"/>
      <c r="UMQ189" s="1360"/>
      <c r="UMR189" s="1362"/>
      <c r="UMS189" s="955"/>
      <c r="UMT189" s="963"/>
      <c r="UMU189" s="2242"/>
      <c r="UMV189" s="1360"/>
      <c r="UMW189" s="1360"/>
      <c r="UMX189" s="1360"/>
      <c r="UMY189" s="1360"/>
      <c r="UMZ189" s="1362"/>
      <c r="UNA189" s="955"/>
      <c r="UNB189" s="963"/>
      <c r="UNC189" s="2242"/>
      <c r="UND189" s="1360"/>
      <c r="UNE189" s="1360"/>
      <c r="UNF189" s="1360"/>
      <c r="UNG189" s="1360"/>
      <c r="UNH189" s="1362"/>
      <c r="UNI189" s="955"/>
      <c r="UNJ189" s="963"/>
      <c r="UNK189" s="2242"/>
      <c r="UNL189" s="1360"/>
      <c r="UNM189" s="1360"/>
      <c r="UNN189" s="1360"/>
      <c r="UNO189" s="1360"/>
      <c r="UNP189" s="1362"/>
      <c r="UNQ189" s="955"/>
      <c r="UNR189" s="963"/>
      <c r="UNS189" s="2242"/>
      <c r="UNT189" s="1360"/>
      <c r="UNU189" s="1360"/>
      <c r="UNV189" s="1360"/>
      <c r="UNW189" s="1360"/>
      <c r="UNX189" s="1362"/>
      <c r="UNY189" s="955"/>
      <c r="UNZ189" s="963"/>
      <c r="UOA189" s="2242"/>
      <c r="UOB189" s="1360"/>
      <c r="UOC189" s="1360"/>
      <c r="UOD189" s="1360"/>
      <c r="UOE189" s="1360"/>
      <c r="UOF189" s="1362"/>
      <c r="UOG189" s="955"/>
      <c r="UOH189" s="963"/>
      <c r="UOI189" s="2242"/>
      <c r="UOJ189" s="1360"/>
      <c r="UOK189" s="1360"/>
      <c r="UOL189" s="1360"/>
      <c r="UOM189" s="1360"/>
      <c r="UON189" s="1362"/>
      <c r="UOO189" s="955"/>
      <c r="UOP189" s="963"/>
      <c r="UOQ189" s="2242"/>
      <c r="UOR189" s="1360"/>
      <c r="UOS189" s="1360"/>
      <c r="UOT189" s="1360"/>
      <c r="UOU189" s="1360"/>
      <c r="UOV189" s="1362"/>
      <c r="UOW189" s="955"/>
      <c r="UOX189" s="963"/>
      <c r="UOY189" s="2242"/>
      <c r="UOZ189" s="1360"/>
      <c r="UPA189" s="1360"/>
      <c r="UPB189" s="1360"/>
      <c r="UPC189" s="1360"/>
      <c r="UPD189" s="1362"/>
      <c r="UPE189" s="955"/>
      <c r="UPF189" s="963"/>
      <c r="UPG189" s="2242"/>
      <c r="UPH189" s="1360"/>
      <c r="UPI189" s="1360"/>
      <c r="UPJ189" s="1360"/>
      <c r="UPK189" s="1360"/>
      <c r="UPL189" s="1362"/>
      <c r="UPM189" s="955"/>
      <c r="UPN189" s="963"/>
      <c r="UPO189" s="2242"/>
      <c r="UPP189" s="1360"/>
      <c r="UPQ189" s="1360"/>
      <c r="UPR189" s="1360"/>
      <c r="UPS189" s="1360"/>
      <c r="UPT189" s="1362"/>
      <c r="UPU189" s="955"/>
      <c r="UPV189" s="963"/>
      <c r="UPW189" s="2242"/>
      <c r="UPX189" s="1360"/>
      <c r="UPY189" s="1360"/>
      <c r="UPZ189" s="1360"/>
      <c r="UQA189" s="1360"/>
      <c r="UQB189" s="1362"/>
      <c r="UQC189" s="955"/>
      <c r="UQD189" s="963"/>
      <c r="UQE189" s="2242"/>
      <c r="UQF189" s="1360"/>
      <c r="UQG189" s="1360"/>
      <c r="UQH189" s="1360"/>
      <c r="UQI189" s="1360"/>
      <c r="UQJ189" s="1362"/>
      <c r="UQK189" s="955"/>
      <c r="UQL189" s="963"/>
      <c r="UQM189" s="2242"/>
      <c r="UQN189" s="1360"/>
      <c r="UQO189" s="1360"/>
      <c r="UQP189" s="1360"/>
      <c r="UQQ189" s="1360"/>
      <c r="UQR189" s="1362"/>
      <c r="UQS189" s="955"/>
      <c r="UQT189" s="963"/>
      <c r="UQU189" s="2242"/>
      <c r="UQV189" s="1360"/>
      <c r="UQW189" s="1360"/>
      <c r="UQX189" s="1360"/>
      <c r="UQY189" s="1360"/>
      <c r="UQZ189" s="1362"/>
      <c r="URA189" s="955"/>
      <c r="URB189" s="963"/>
      <c r="URC189" s="2242"/>
      <c r="URD189" s="1360"/>
      <c r="URE189" s="1360"/>
      <c r="URF189" s="1360"/>
      <c r="URG189" s="1360"/>
      <c r="URH189" s="1362"/>
      <c r="URI189" s="955"/>
      <c r="URJ189" s="963"/>
      <c r="URK189" s="2242"/>
      <c r="URL189" s="1360"/>
      <c r="URM189" s="1360"/>
      <c r="URN189" s="1360"/>
      <c r="URO189" s="1360"/>
      <c r="URP189" s="1362"/>
      <c r="URQ189" s="955"/>
      <c r="URR189" s="963"/>
      <c r="URS189" s="2242"/>
      <c r="URT189" s="1360"/>
      <c r="URU189" s="1360"/>
      <c r="URV189" s="1360"/>
      <c r="URW189" s="1360"/>
      <c r="URX189" s="1362"/>
      <c r="URY189" s="955"/>
      <c r="URZ189" s="963"/>
      <c r="USA189" s="2242"/>
      <c r="USB189" s="1360"/>
      <c r="USC189" s="1360"/>
      <c r="USD189" s="1360"/>
      <c r="USE189" s="1360"/>
      <c r="USF189" s="1362"/>
      <c r="USG189" s="955"/>
      <c r="USH189" s="963"/>
      <c r="USI189" s="2242"/>
      <c r="USJ189" s="1360"/>
      <c r="USK189" s="1360"/>
      <c r="USL189" s="1360"/>
      <c r="USM189" s="1360"/>
      <c r="USN189" s="1362"/>
      <c r="USO189" s="955"/>
      <c r="USP189" s="963"/>
      <c r="USQ189" s="2242"/>
      <c r="USR189" s="1360"/>
      <c r="USS189" s="1360"/>
      <c r="UST189" s="1360"/>
      <c r="USU189" s="1360"/>
      <c r="USV189" s="1362"/>
      <c r="USW189" s="955"/>
      <c r="USX189" s="963"/>
      <c r="USY189" s="2242"/>
      <c r="USZ189" s="1360"/>
      <c r="UTA189" s="1360"/>
      <c r="UTB189" s="1360"/>
      <c r="UTC189" s="1360"/>
      <c r="UTD189" s="1362"/>
      <c r="UTE189" s="955"/>
      <c r="UTF189" s="963"/>
      <c r="UTG189" s="2242"/>
      <c r="UTH189" s="1360"/>
      <c r="UTI189" s="1360"/>
      <c r="UTJ189" s="1360"/>
      <c r="UTK189" s="1360"/>
      <c r="UTL189" s="1362"/>
      <c r="UTM189" s="955"/>
      <c r="UTN189" s="963"/>
      <c r="UTO189" s="2242"/>
      <c r="UTP189" s="1360"/>
      <c r="UTQ189" s="1360"/>
      <c r="UTR189" s="1360"/>
      <c r="UTS189" s="1360"/>
      <c r="UTT189" s="1362"/>
      <c r="UTU189" s="955"/>
      <c r="UTV189" s="963"/>
      <c r="UTW189" s="2242"/>
      <c r="UTX189" s="1360"/>
      <c r="UTY189" s="1360"/>
      <c r="UTZ189" s="1360"/>
      <c r="UUA189" s="1360"/>
      <c r="UUB189" s="1362"/>
      <c r="UUC189" s="955"/>
      <c r="UUD189" s="963"/>
      <c r="UUE189" s="2242"/>
      <c r="UUF189" s="1360"/>
      <c r="UUG189" s="1360"/>
      <c r="UUH189" s="1360"/>
      <c r="UUI189" s="1360"/>
      <c r="UUJ189" s="1362"/>
      <c r="UUK189" s="955"/>
      <c r="UUL189" s="963"/>
      <c r="UUM189" s="2242"/>
      <c r="UUN189" s="1360"/>
      <c r="UUO189" s="1360"/>
      <c r="UUP189" s="1360"/>
      <c r="UUQ189" s="1360"/>
      <c r="UUR189" s="1362"/>
      <c r="UUS189" s="955"/>
      <c r="UUT189" s="963"/>
      <c r="UUU189" s="2242"/>
      <c r="UUV189" s="1360"/>
      <c r="UUW189" s="1360"/>
      <c r="UUX189" s="1360"/>
      <c r="UUY189" s="1360"/>
      <c r="UUZ189" s="1362"/>
      <c r="UVA189" s="955"/>
      <c r="UVB189" s="963"/>
      <c r="UVC189" s="2242"/>
      <c r="UVD189" s="1360"/>
      <c r="UVE189" s="1360"/>
      <c r="UVF189" s="1360"/>
      <c r="UVG189" s="1360"/>
      <c r="UVH189" s="1362"/>
      <c r="UVI189" s="955"/>
      <c r="UVJ189" s="963"/>
      <c r="UVK189" s="2242"/>
      <c r="UVL189" s="1360"/>
      <c r="UVM189" s="1360"/>
      <c r="UVN189" s="1360"/>
      <c r="UVO189" s="1360"/>
      <c r="UVP189" s="1362"/>
      <c r="UVQ189" s="955"/>
      <c r="UVR189" s="963"/>
      <c r="UVS189" s="2242"/>
      <c r="UVT189" s="1360"/>
      <c r="UVU189" s="1360"/>
      <c r="UVV189" s="1360"/>
      <c r="UVW189" s="1360"/>
      <c r="UVX189" s="1362"/>
      <c r="UVY189" s="955"/>
      <c r="UVZ189" s="963"/>
      <c r="UWA189" s="2242"/>
      <c r="UWB189" s="1360"/>
      <c r="UWC189" s="1360"/>
      <c r="UWD189" s="1360"/>
      <c r="UWE189" s="1360"/>
      <c r="UWF189" s="1362"/>
      <c r="UWG189" s="955"/>
      <c r="UWH189" s="963"/>
      <c r="UWI189" s="2242"/>
      <c r="UWJ189" s="1360"/>
      <c r="UWK189" s="1360"/>
      <c r="UWL189" s="1360"/>
      <c r="UWM189" s="1360"/>
      <c r="UWN189" s="1362"/>
      <c r="UWO189" s="955"/>
      <c r="UWP189" s="963"/>
      <c r="UWQ189" s="2242"/>
      <c r="UWR189" s="1360"/>
      <c r="UWS189" s="1360"/>
      <c r="UWT189" s="1360"/>
      <c r="UWU189" s="1360"/>
      <c r="UWV189" s="1362"/>
      <c r="UWW189" s="955"/>
      <c r="UWX189" s="963"/>
      <c r="UWY189" s="2242"/>
      <c r="UWZ189" s="1360"/>
      <c r="UXA189" s="1360"/>
      <c r="UXB189" s="1360"/>
      <c r="UXC189" s="1360"/>
      <c r="UXD189" s="1362"/>
      <c r="UXE189" s="955"/>
      <c r="UXF189" s="963"/>
      <c r="UXG189" s="2242"/>
      <c r="UXH189" s="1360"/>
      <c r="UXI189" s="1360"/>
      <c r="UXJ189" s="1360"/>
      <c r="UXK189" s="1360"/>
      <c r="UXL189" s="1362"/>
      <c r="UXM189" s="955"/>
      <c r="UXN189" s="963"/>
      <c r="UXO189" s="2242"/>
      <c r="UXP189" s="1360"/>
      <c r="UXQ189" s="1360"/>
      <c r="UXR189" s="1360"/>
      <c r="UXS189" s="1360"/>
      <c r="UXT189" s="1362"/>
      <c r="UXU189" s="955"/>
      <c r="UXV189" s="963"/>
      <c r="UXW189" s="2242"/>
      <c r="UXX189" s="1360"/>
      <c r="UXY189" s="1360"/>
      <c r="UXZ189" s="1360"/>
      <c r="UYA189" s="1360"/>
      <c r="UYB189" s="1362"/>
      <c r="UYC189" s="955"/>
      <c r="UYD189" s="963"/>
      <c r="UYE189" s="2242"/>
      <c r="UYF189" s="1360"/>
      <c r="UYG189" s="1360"/>
      <c r="UYH189" s="1360"/>
      <c r="UYI189" s="1360"/>
      <c r="UYJ189" s="1362"/>
      <c r="UYK189" s="955"/>
      <c r="UYL189" s="963"/>
      <c r="UYM189" s="2242"/>
      <c r="UYN189" s="1360"/>
      <c r="UYO189" s="1360"/>
      <c r="UYP189" s="1360"/>
      <c r="UYQ189" s="1360"/>
      <c r="UYR189" s="1362"/>
      <c r="UYS189" s="955"/>
      <c r="UYT189" s="963"/>
      <c r="UYU189" s="2242"/>
      <c r="UYV189" s="1360"/>
      <c r="UYW189" s="1360"/>
      <c r="UYX189" s="1360"/>
      <c r="UYY189" s="1360"/>
      <c r="UYZ189" s="1362"/>
      <c r="UZA189" s="955"/>
      <c r="UZB189" s="963"/>
      <c r="UZC189" s="2242"/>
      <c r="UZD189" s="1360"/>
      <c r="UZE189" s="1360"/>
      <c r="UZF189" s="1360"/>
      <c r="UZG189" s="1360"/>
      <c r="UZH189" s="1362"/>
      <c r="UZI189" s="955"/>
      <c r="UZJ189" s="963"/>
      <c r="UZK189" s="2242"/>
      <c r="UZL189" s="1360"/>
      <c r="UZM189" s="1360"/>
      <c r="UZN189" s="1360"/>
      <c r="UZO189" s="1360"/>
      <c r="UZP189" s="1362"/>
      <c r="UZQ189" s="955"/>
      <c r="UZR189" s="963"/>
      <c r="UZS189" s="2242"/>
      <c r="UZT189" s="1360"/>
      <c r="UZU189" s="1360"/>
      <c r="UZV189" s="1360"/>
      <c r="UZW189" s="1360"/>
      <c r="UZX189" s="1362"/>
      <c r="UZY189" s="955"/>
      <c r="UZZ189" s="963"/>
      <c r="VAA189" s="2242"/>
      <c r="VAB189" s="1360"/>
      <c r="VAC189" s="1360"/>
      <c r="VAD189" s="1360"/>
      <c r="VAE189" s="1360"/>
      <c r="VAF189" s="1362"/>
      <c r="VAG189" s="955"/>
      <c r="VAH189" s="963"/>
      <c r="VAI189" s="2242"/>
      <c r="VAJ189" s="1360"/>
      <c r="VAK189" s="1360"/>
      <c r="VAL189" s="1360"/>
      <c r="VAM189" s="1360"/>
      <c r="VAN189" s="1362"/>
      <c r="VAO189" s="955"/>
      <c r="VAP189" s="963"/>
      <c r="VAQ189" s="2242"/>
      <c r="VAR189" s="1360"/>
      <c r="VAS189" s="1360"/>
      <c r="VAT189" s="1360"/>
      <c r="VAU189" s="1360"/>
      <c r="VAV189" s="1362"/>
      <c r="VAW189" s="955"/>
      <c r="VAX189" s="963"/>
      <c r="VAY189" s="2242"/>
      <c r="VAZ189" s="1360"/>
      <c r="VBA189" s="1360"/>
      <c r="VBB189" s="1360"/>
      <c r="VBC189" s="1360"/>
      <c r="VBD189" s="1362"/>
      <c r="VBE189" s="955"/>
      <c r="VBF189" s="963"/>
      <c r="VBG189" s="2242"/>
      <c r="VBH189" s="1360"/>
      <c r="VBI189" s="1360"/>
      <c r="VBJ189" s="1360"/>
      <c r="VBK189" s="1360"/>
      <c r="VBL189" s="1362"/>
      <c r="VBM189" s="955"/>
      <c r="VBN189" s="963"/>
      <c r="VBO189" s="2242"/>
      <c r="VBP189" s="1360"/>
      <c r="VBQ189" s="1360"/>
      <c r="VBR189" s="1360"/>
      <c r="VBS189" s="1360"/>
      <c r="VBT189" s="1362"/>
      <c r="VBU189" s="955"/>
      <c r="VBV189" s="963"/>
      <c r="VBW189" s="2242"/>
      <c r="VBX189" s="1360"/>
      <c r="VBY189" s="1360"/>
      <c r="VBZ189" s="1360"/>
      <c r="VCA189" s="1360"/>
      <c r="VCB189" s="1362"/>
      <c r="VCC189" s="955"/>
      <c r="VCD189" s="963"/>
      <c r="VCE189" s="2242"/>
      <c r="VCF189" s="1360"/>
      <c r="VCG189" s="1360"/>
      <c r="VCH189" s="1360"/>
      <c r="VCI189" s="1360"/>
      <c r="VCJ189" s="1362"/>
      <c r="VCK189" s="955"/>
      <c r="VCL189" s="963"/>
      <c r="VCM189" s="2242"/>
      <c r="VCN189" s="1360"/>
      <c r="VCO189" s="1360"/>
      <c r="VCP189" s="1360"/>
      <c r="VCQ189" s="1360"/>
      <c r="VCR189" s="1362"/>
      <c r="VCS189" s="955"/>
      <c r="VCT189" s="963"/>
      <c r="VCU189" s="2242"/>
      <c r="VCV189" s="1360"/>
      <c r="VCW189" s="1360"/>
      <c r="VCX189" s="1360"/>
      <c r="VCY189" s="1360"/>
      <c r="VCZ189" s="1362"/>
      <c r="VDA189" s="955"/>
      <c r="VDB189" s="963"/>
      <c r="VDC189" s="2242"/>
      <c r="VDD189" s="1360"/>
      <c r="VDE189" s="1360"/>
      <c r="VDF189" s="1360"/>
      <c r="VDG189" s="1360"/>
      <c r="VDH189" s="1362"/>
      <c r="VDI189" s="955"/>
      <c r="VDJ189" s="963"/>
      <c r="VDK189" s="2242"/>
      <c r="VDL189" s="1360"/>
      <c r="VDM189" s="1360"/>
      <c r="VDN189" s="1360"/>
      <c r="VDO189" s="1360"/>
      <c r="VDP189" s="1362"/>
      <c r="VDQ189" s="955"/>
      <c r="VDR189" s="963"/>
      <c r="VDS189" s="2242"/>
      <c r="VDT189" s="1360"/>
      <c r="VDU189" s="1360"/>
      <c r="VDV189" s="1360"/>
      <c r="VDW189" s="1360"/>
      <c r="VDX189" s="1362"/>
      <c r="VDY189" s="955"/>
      <c r="VDZ189" s="963"/>
      <c r="VEA189" s="2242"/>
      <c r="VEB189" s="1360"/>
      <c r="VEC189" s="1360"/>
      <c r="VED189" s="1360"/>
      <c r="VEE189" s="1360"/>
      <c r="VEF189" s="1362"/>
      <c r="VEG189" s="955"/>
      <c r="VEH189" s="963"/>
      <c r="VEI189" s="2242"/>
      <c r="VEJ189" s="1360"/>
      <c r="VEK189" s="1360"/>
      <c r="VEL189" s="1360"/>
      <c r="VEM189" s="1360"/>
      <c r="VEN189" s="1362"/>
      <c r="VEO189" s="955"/>
      <c r="VEP189" s="963"/>
      <c r="VEQ189" s="2242"/>
      <c r="VER189" s="1360"/>
      <c r="VES189" s="1360"/>
      <c r="VET189" s="1360"/>
      <c r="VEU189" s="1360"/>
      <c r="VEV189" s="1362"/>
      <c r="VEW189" s="955"/>
      <c r="VEX189" s="963"/>
      <c r="VEY189" s="2242"/>
      <c r="VEZ189" s="1360"/>
      <c r="VFA189" s="1360"/>
      <c r="VFB189" s="1360"/>
      <c r="VFC189" s="1360"/>
      <c r="VFD189" s="1362"/>
      <c r="VFE189" s="955"/>
      <c r="VFF189" s="963"/>
      <c r="VFG189" s="2242"/>
      <c r="VFH189" s="1360"/>
      <c r="VFI189" s="1360"/>
      <c r="VFJ189" s="1360"/>
      <c r="VFK189" s="1360"/>
      <c r="VFL189" s="1362"/>
      <c r="VFM189" s="955"/>
      <c r="VFN189" s="963"/>
      <c r="VFO189" s="2242"/>
      <c r="VFP189" s="1360"/>
      <c r="VFQ189" s="1360"/>
      <c r="VFR189" s="1360"/>
      <c r="VFS189" s="1360"/>
      <c r="VFT189" s="1362"/>
      <c r="VFU189" s="955"/>
      <c r="VFV189" s="963"/>
      <c r="VFW189" s="2242"/>
      <c r="VFX189" s="1360"/>
      <c r="VFY189" s="1360"/>
      <c r="VFZ189" s="1360"/>
      <c r="VGA189" s="1360"/>
      <c r="VGB189" s="1362"/>
      <c r="VGC189" s="955"/>
      <c r="VGD189" s="963"/>
      <c r="VGE189" s="2242"/>
      <c r="VGF189" s="1360"/>
      <c r="VGG189" s="1360"/>
      <c r="VGH189" s="1360"/>
      <c r="VGI189" s="1360"/>
      <c r="VGJ189" s="1362"/>
      <c r="VGK189" s="955"/>
      <c r="VGL189" s="963"/>
      <c r="VGM189" s="2242"/>
      <c r="VGN189" s="1360"/>
      <c r="VGO189" s="1360"/>
      <c r="VGP189" s="1360"/>
      <c r="VGQ189" s="1360"/>
      <c r="VGR189" s="1362"/>
      <c r="VGS189" s="955"/>
      <c r="VGT189" s="963"/>
      <c r="VGU189" s="2242"/>
      <c r="VGV189" s="1360"/>
      <c r="VGW189" s="1360"/>
      <c r="VGX189" s="1360"/>
      <c r="VGY189" s="1360"/>
      <c r="VGZ189" s="1362"/>
      <c r="VHA189" s="955"/>
      <c r="VHB189" s="963"/>
      <c r="VHC189" s="2242"/>
      <c r="VHD189" s="1360"/>
      <c r="VHE189" s="1360"/>
      <c r="VHF189" s="1360"/>
      <c r="VHG189" s="1360"/>
      <c r="VHH189" s="1362"/>
      <c r="VHI189" s="955"/>
      <c r="VHJ189" s="963"/>
      <c r="VHK189" s="2242"/>
      <c r="VHL189" s="1360"/>
      <c r="VHM189" s="1360"/>
      <c r="VHN189" s="1360"/>
      <c r="VHO189" s="1360"/>
      <c r="VHP189" s="1362"/>
      <c r="VHQ189" s="955"/>
      <c r="VHR189" s="963"/>
      <c r="VHS189" s="2242"/>
      <c r="VHT189" s="1360"/>
      <c r="VHU189" s="1360"/>
      <c r="VHV189" s="1360"/>
      <c r="VHW189" s="1360"/>
      <c r="VHX189" s="1362"/>
      <c r="VHY189" s="955"/>
      <c r="VHZ189" s="963"/>
      <c r="VIA189" s="2242"/>
      <c r="VIB189" s="1360"/>
      <c r="VIC189" s="1360"/>
      <c r="VID189" s="1360"/>
      <c r="VIE189" s="1360"/>
      <c r="VIF189" s="1362"/>
      <c r="VIG189" s="955"/>
      <c r="VIH189" s="963"/>
      <c r="VII189" s="2242"/>
      <c r="VIJ189" s="1360"/>
      <c r="VIK189" s="1360"/>
      <c r="VIL189" s="1360"/>
      <c r="VIM189" s="1360"/>
      <c r="VIN189" s="1362"/>
      <c r="VIO189" s="955"/>
      <c r="VIP189" s="963"/>
      <c r="VIQ189" s="2242"/>
      <c r="VIR189" s="1360"/>
      <c r="VIS189" s="1360"/>
      <c r="VIT189" s="1360"/>
      <c r="VIU189" s="1360"/>
      <c r="VIV189" s="1362"/>
      <c r="VIW189" s="955"/>
      <c r="VIX189" s="963"/>
      <c r="VIY189" s="2242"/>
      <c r="VIZ189" s="1360"/>
      <c r="VJA189" s="1360"/>
      <c r="VJB189" s="1360"/>
      <c r="VJC189" s="1360"/>
      <c r="VJD189" s="1362"/>
      <c r="VJE189" s="955"/>
      <c r="VJF189" s="963"/>
      <c r="VJG189" s="2242"/>
      <c r="VJH189" s="1360"/>
      <c r="VJI189" s="1360"/>
      <c r="VJJ189" s="1360"/>
      <c r="VJK189" s="1360"/>
      <c r="VJL189" s="1362"/>
      <c r="VJM189" s="955"/>
      <c r="VJN189" s="963"/>
      <c r="VJO189" s="2242"/>
      <c r="VJP189" s="1360"/>
      <c r="VJQ189" s="1360"/>
      <c r="VJR189" s="1360"/>
      <c r="VJS189" s="1360"/>
      <c r="VJT189" s="1362"/>
      <c r="VJU189" s="955"/>
      <c r="VJV189" s="963"/>
      <c r="VJW189" s="2242"/>
      <c r="VJX189" s="1360"/>
      <c r="VJY189" s="1360"/>
      <c r="VJZ189" s="1360"/>
      <c r="VKA189" s="1360"/>
      <c r="VKB189" s="1362"/>
      <c r="VKC189" s="955"/>
      <c r="VKD189" s="963"/>
      <c r="VKE189" s="2242"/>
      <c r="VKF189" s="1360"/>
      <c r="VKG189" s="1360"/>
      <c r="VKH189" s="1360"/>
      <c r="VKI189" s="1360"/>
      <c r="VKJ189" s="1362"/>
      <c r="VKK189" s="955"/>
      <c r="VKL189" s="963"/>
      <c r="VKM189" s="2242"/>
      <c r="VKN189" s="1360"/>
      <c r="VKO189" s="1360"/>
      <c r="VKP189" s="1360"/>
      <c r="VKQ189" s="1360"/>
      <c r="VKR189" s="1362"/>
      <c r="VKS189" s="955"/>
      <c r="VKT189" s="963"/>
      <c r="VKU189" s="2242"/>
      <c r="VKV189" s="1360"/>
      <c r="VKW189" s="1360"/>
      <c r="VKX189" s="1360"/>
      <c r="VKY189" s="1360"/>
      <c r="VKZ189" s="1362"/>
      <c r="VLA189" s="955"/>
      <c r="VLB189" s="963"/>
      <c r="VLC189" s="2242"/>
      <c r="VLD189" s="1360"/>
      <c r="VLE189" s="1360"/>
      <c r="VLF189" s="1360"/>
      <c r="VLG189" s="1360"/>
      <c r="VLH189" s="1362"/>
      <c r="VLI189" s="955"/>
      <c r="VLJ189" s="963"/>
      <c r="VLK189" s="2242"/>
      <c r="VLL189" s="1360"/>
      <c r="VLM189" s="1360"/>
      <c r="VLN189" s="1360"/>
      <c r="VLO189" s="1360"/>
      <c r="VLP189" s="1362"/>
      <c r="VLQ189" s="955"/>
      <c r="VLR189" s="963"/>
      <c r="VLS189" s="2242"/>
      <c r="VLT189" s="1360"/>
      <c r="VLU189" s="1360"/>
      <c r="VLV189" s="1360"/>
      <c r="VLW189" s="1360"/>
      <c r="VLX189" s="1362"/>
      <c r="VLY189" s="955"/>
      <c r="VLZ189" s="963"/>
      <c r="VMA189" s="2242"/>
      <c r="VMB189" s="1360"/>
      <c r="VMC189" s="1360"/>
      <c r="VMD189" s="1360"/>
      <c r="VME189" s="1360"/>
      <c r="VMF189" s="1362"/>
      <c r="VMG189" s="955"/>
      <c r="VMH189" s="963"/>
      <c r="VMI189" s="2242"/>
      <c r="VMJ189" s="1360"/>
      <c r="VMK189" s="1360"/>
      <c r="VML189" s="1360"/>
      <c r="VMM189" s="1360"/>
      <c r="VMN189" s="1362"/>
      <c r="VMO189" s="955"/>
      <c r="VMP189" s="963"/>
      <c r="VMQ189" s="2242"/>
      <c r="VMR189" s="1360"/>
      <c r="VMS189" s="1360"/>
      <c r="VMT189" s="1360"/>
      <c r="VMU189" s="1360"/>
      <c r="VMV189" s="1362"/>
      <c r="VMW189" s="955"/>
      <c r="VMX189" s="963"/>
      <c r="VMY189" s="2242"/>
      <c r="VMZ189" s="1360"/>
      <c r="VNA189" s="1360"/>
      <c r="VNB189" s="1360"/>
      <c r="VNC189" s="1360"/>
      <c r="VND189" s="1362"/>
      <c r="VNE189" s="955"/>
      <c r="VNF189" s="963"/>
      <c r="VNG189" s="2242"/>
      <c r="VNH189" s="1360"/>
      <c r="VNI189" s="1360"/>
      <c r="VNJ189" s="1360"/>
      <c r="VNK189" s="1360"/>
      <c r="VNL189" s="1362"/>
      <c r="VNM189" s="955"/>
      <c r="VNN189" s="963"/>
      <c r="VNO189" s="2242"/>
      <c r="VNP189" s="1360"/>
      <c r="VNQ189" s="1360"/>
      <c r="VNR189" s="1360"/>
      <c r="VNS189" s="1360"/>
      <c r="VNT189" s="1362"/>
      <c r="VNU189" s="955"/>
      <c r="VNV189" s="963"/>
      <c r="VNW189" s="2242"/>
      <c r="VNX189" s="1360"/>
      <c r="VNY189" s="1360"/>
      <c r="VNZ189" s="1360"/>
      <c r="VOA189" s="1360"/>
      <c r="VOB189" s="1362"/>
      <c r="VOC189" s="955"/>
      <c r="VOD189" s="963"/>
      <c r="VOE189" s="2242"/>
      <c r="VOF189" s="1360"/>
      <c r="VOG189" s="1360"/>
      <c r="VOH189" s="1360"/>
      <c r="VOI189" s="1360"/>
      <c r="VOJ189" s="1362"/>
      <c r="VOK189" s="955"/>
      <c r="VOL189" s="963"/>
      <c r="VOM189" s="2242"/>
      <c r="VON189" s="1360"/>
      <c r="VOO189" s="1360"/>
      <c r="VOP189" s="1360"/>
      <c r="VOQ189" s="1360"/>
      <c r="VOR189" s="1362"/>
      <c r="VOS189" s="955"/>
      <c r="VOT189" s="963"/>
      <c r="VOU189" s="2242"/>
      <c r="VOV189" s="1360"/>
      <c r="VOW189" s="1360"/>
      <c r="VOX189" s="1360"/>
      <c r="VOY189" s="1360"/>
      <c r="VOZ189" s="1362"/>
      <c r="VPA189" s="955"/>
      <c r="VPB189" s="963"/>
      <c r="VPC189" s="2242"/>
      <c r="VPD189" s="1360"/>
      <c r="VPE189" s="1360"/>
      <c r="VPF189" s="1360"/>
      <c r="VPG189" s="1360"/>
      <c r="VPH189" s="1362"/>
      <c r="VPI189" s="955"/>
      <c r="VPJ189" s="963"/>
      <c r="VPK189" s="2242"/>
      <c r="VPL189" s="1360"/>
      <c r="VPM189" s="1360"/>
      <c r="VPN189" s="1360"/>
      <c r="VPO189" s="1360"/>
      <c r="VPP189" s="1362"/>
      <c r="VPQ189" s="955"/>
      <c r="VPR189" s="963"/>
      <c r="VPS189" s="2242"/>
      <c r="VPT189" s="1360"/>
      <c r="VPU189" s="1360"/>
      <c r="VPV189" s="1360"/>
      <c r="VPW189" s="1360"/>
      <c r="VPX189" s="1362"/>
      <c r="VPY189" s="955"/>
      <c r="VPZ189" s="963"/>
      <c r="VQA189" s="2242"/>
      <c r="VQB189" s="1360"/>
      <c r="VQC189" s="1360"/>
      <c r="VQD189" s="1360"/>
      <c r="VQE189" s="1360"/>
      <c r="VQF189" s="1362"/>
      <c r="VQG189" s="955"/>
      <c r="VQH189" s="963"/>
      <c r="VQI189" s="2242"/>
      <c r="VQJ189" s="1360"/>
      <c r="VQK189" s="1360"/>
      <c r="VQL189" s="1360"/>
      <c r="VQM189" s="1360"/>
      <c r="VQN189" s="1362"/>
      <c r="VQO189" s="955"/>
      <c r="VQP189" s="963"/>
      <c r="VQQ189" s="2242"/>
      <c r="VQR189" s="1360"/>
      <c r="VQS189" s="1360"/>
      <c r="VQT189" s="1360"/>
      <c r="VQU189" s="1360"/>
      <c r="VQV189" s="1362"/>
      <c r="VQW189" s="955"/>
      <c r="VQX189" s="963"/>
      <c r="VQY189" s="2242"/>
      <c r="VQZ189" s="1360"/>
      <c r="VRA189" s="1360"/>
      <c r="VRB189" s="1360"/>
      <c r="VRC189" s="1360"/>
      <c r="VRD189" s="1362"/>
      <c r="VRE189" s="955"/>
      <c r="VRF189" s="963"/>
      <c r="VRG189" s="2242"/>
      <c r="VRH189" s="1360"/>
      <c r="VRI189" s="1360"/>
      <c r="VRJ189" s="1360"/>
      <c r="VRK189" s="1360"/>
      <c r="VRL189" s="1362"/>
      <c r="VRM189" s="955"/>
      <c r="VRN189" s="963"/>
      <c r="VRO189" s="2242"/>
      <c r="VRP189" s="1360"/>
      <c r="VRQ189" s="1360"/>
      <c r="VRR189" s="1360"/>
      <c r="VRS189" s="1360"/>
      <c r="VRT189" s="1362"/>
      <c r="VRU189" s="955"/>
      <c r="VRV189" s="963"/>
      <c r="VRW189" s="2242"/>
      <c r="VRX189" s="1360"/>
      <c r="VRY189" s="1360"/>
      <c r="VRZ189" s="1360"/>
      <c r="VSA189" s="1360"/>
      <c r="VSB189" s="1362"/>
      <c r="VSC189" s="955"/>
      <c r="VSD189" s="963"/>
      <c r="VSE189" s="2242"/>
      <c r="VSF189" s="1360"/>
      <c r="VSG189" s="1360"/>
      <c r="VSH189" s="1360"/>
      <c r="VSI189" s="1360"/>
      <c r="VSJ189" s="1362"/>
      <c r="VSK189" s="955"/>
      <c r="VSL189" s="963"/>
      <c r="VSM189" s="2242"/>
      <c r="VSN189" s="1360"/>
      <c r="VSO189" s="1360"/>
      <c r="VSP189" s="1360"/>
      <c r="VSQ189" s="1360"/>
      <c r="VSR189" s="1362"/>
      <c r="VSS189" s="955"/>
      <c r="VST189" s="963"/>
      <c r="VSU189" s="2242"/>
      <c r="VSV189" s="1360"/>
      <c r="VSW189" s="1360"/>
      <c r="VSX189" s="1360"/>
      <c r="VSY189" s="1360"/>
      <c r="VSZ189" s="1362"/>
      <c r="VTA189" s="955"/>
      <c r="VTB189" s="963"/>
      <c r="VTC189" s="2242"/>
      <c r="VTD189" s="1360"/>
      <c r="VTE189" s="1360"/>
      <c r="VTF189" s="1360"/>
      <c r="VTG189" s="1360"/>
      <c r="VTH189" s="1362"/>
      <c r="VTI189" s="955"/>
      <c r="VTJ189" s="963"/>
      <c r="VTK189" s="2242"/>
      <c r="VTL189" s="1360"/>
      <c r="VTM189" s="1360"/>
      <c r="VTN189" s="1360"/>
      <c r="VTO189" s="1360"/>
      <c r="VTP189" s="1362"/>
      <c r="VTQ189" s="955"/>
      <c r="VTR189" s="963"/>
      <c r="VTS189" s="2242"/>
      <c r="VTT189" s="1360"/>
      <c r="VTU189" s="1360"/>
      <c r="VTV189" s="1360"/>
      <c r="VTW189" s="1360"/>
      <c r="VTX189" s="1362"/>
      <c r="VTY189" s="955"/>
      <c r="VTZ189" s="963"/>
      <c r="VUA189" s="2242"/>
      <c r="VUB189" s="1360"/>
      <c r="VUC189" s="1360"/>
      <c r="VUD189" s="1360"/>
      <c r="VUE189" s="1360"/>
      <c r="VUF189" s="1362"/>
      <c r="VUG189" s="955"/>
      <c r="VUH189" s="963"/>
      <c r="VUI189" s="2242"/>
      <c r="VUJ189" s="1360"/>
      <c r="VUK189" s="1360"/>
      <c r="VUL189" s="1360"/>
      <c r="VUM189" s="1360"/>
      <c r="VUN189" s="1362"/>
      <c r="VUO189" s="955"/>
      <c r="VUP189" s="963"/>
      <c r="VUQ189" s="2242"/>
      <c r="VUR189" s="1360"/>
      <c r="VUS189" s="1360"/>
      <c r="VUT189" s="1360"/>
      <c r="VUU189" s="1360"/>
      <c r="VUV189" s="1362"/>
      <c r="VUW189" s="955"/>
      <c r="VUX189" s="963"/>
      <c r="VUY189" s="2242"/>
      <c r="VUZ189" s="1360"/>
      <c r="VVA189" s="1360"/>
      <c r="VVB189" s="1360"/>
      <c r="VVC189" s="1360"/>
      <c r="VVD189" s="1362"/>
      <c r="VVE189" s="955"/>
      <c r="VVF189" s="963"/>
      <c r="VVG189" s="2242"/>
      <c r="VVH189" s="1360"/>
      <c r="VVI189" s="1360"/>
      <c r="VVJ189" s="1360"/>
      <c r="VVK189" s="1360"/>
      <c r="VVL189" s="1362"/>
      <c r="VVM189" s="955"/>
      <c r="VVN189" s="963"/>
      <c r="VVO189" s="2242"/>
      <c r="VVP189" s="1360"/>
      <c r="VVQ189" s="1360"/>
      <c r="VVR189" s="1360"/>
      <c r="VVS189" s="1360"/>
      <c r="VVT189" s="1362"/>
      <c r="VVU189" s="955"/>
      <c r="VVV189" s="963"/>
      <c r="VVW189" s="2242"/>
      <c r="VVX189" s="1360"/>
      <c r="VVY189" s="1360"/>
      <c r="VVZ189" s="1360"/>
      <c r="VWA189" s="1360"/>
      <c r="VWB189" s="1362"/>
      <c r="VWC189" s="955"/>
      <c r="VWD189" s="963"/>
      <c r="VWE189" s="2242"/>
      <c r="VWF189" s="1360"/>
      <c r="VWG189" s="1360"/>
      <c r="VWH189" s="1360"/>
      <c r="VWI189" s="1360"/>
      <c r="VWJ189" s="1362"/>
      <c r="VWK189" s="955"/>
      <c r="VWL189" s="963"/>
      <c r="VWM189" s="2242"/>
      <c r="VWN189" s="1360"/>
      <c r="VWO189" s="1360"/>
      <c r="VWP189" s="1360"/>
      <c r="VWQ189" s="1360"/>
      <c r="VWR189" s="1362"/>
      <c r="VWS189" s="955"/>
      <c r="VWT189" s="963"/>
      <c r="VWU189" s="2242"/>
      <c r="VWV189" s="1360"/>
      <c r="VWW189" s="1360"/>
      <c r="VWX189" s="1360"/>
      <c r="VWY189" s="1360"/>
      <c r="VWZ189" s="1362"/>
      <c r="VXA189" s="955"/>
      <c r="VXB189" s="963"/>
      <c r="VXC189" s="2242"/>
      <c r="VXD189" s="1360"/>
      <c r="VXE189" s="1360"/>
      <c r="VXF189" s="1360"/>
      <c r="VXG189" s="1360"/>
      <c r="VXH189" s="1362"/>
      <c r="VXI189" s="955"/>
      <c r="VXJ189" s="963"/>
      <c r="VXK189" s="2242"/>
      <c r="VXL189" s="1360"/>
      <c r="VXM189" s="1360"/>
      <c r="VXN189" s="1360"/>
      <c r="VXO189" s="1360"/>
      <c r="VXP189" s="1362"/>
      <c r="VXQ189" s="955"/>
      <c r="VXR189" s="963"/>
      <c r="VXS189" s="2242"/>
      <c r="VXT189" s="1360"/>
      <c r="VXU189" s="1360"/>
      <c r="VXV189" s="1360"/>
      <c r="VXW189" s="1360"/>
      <c r="VXX189" s="1362"/>
      <c r="VXY189" s="955"/>
      <c r="VXZ189" s="963"/>
      <c r="VYA189" s="2242"/>
      <c r="VYB189" s="1360"/>
      <c r="VYC189" s="1360"/>
      <c r="VYD189" s="1360"/>
      <c r="VYE189" s="1360"/>
      <c r="VYF189" s="1362"/>
      <c r="VYG189" s="955"/>
      <c r="VYH189" s="963"/>
      <c r="VYI189" s="2242"/>
      <c r="VYJ189" s="1360"/>
      <c r="VYK189" s="1360"/>
      <c r="VYL189" s="1360"/>
      <c r="VYM189" s="1360"/>
      <c r="VYN189" s="1362"/>
      <c r="VYO189" s="955"/>
      <c r="VYP189" s="963"/>
      <c r="VYQ189" s="2242"/>
      <c r="VYR189" s="1360"/>
      <c r="VYS189" s="1360"/>
      <c r="VYT189" s="1360"/>
      <c r="VYU189" s="1360"/>
      <c r="VYV189" s="1362"/>
      <c r="VYW189" s="955"/>
      <c r="VYX189" s="963"/>
      <c r="VYY189" s="2242"/>
      <c r="VYZ189" s="1360"/>
      <c r="VZA189" s="1360"/>
      <c r="VZB189" s="1360"/>
      <c r="VZC189" s="1360"/>
      <c r="VZD189" s="1362"/>
      <c r="VZE189" s="955"/>
      <c r="VZF189" s="963"/>
      <c r="VZG189" s="2242"/>
      <c r="VZH189" s="1360"/>
      <c r="VZI189" s="1360"/>
      <c r="VZJ189" s="1360"/>
      <c r="VZK189" s="1360"/>
      <c r="VZL189" s="1362"/>
      <c r="VZM189" s="955"/>
      <c r="VZN189" s="963"/>
      <c r="VZO189" s="2242"/>
      <c r="VZP189" s="1360"/>
      <c r="VZQ189" s="1360"/>
      <c r="VZR189" s="1360"/>
      <c r="VZS189" s="1360"/>
      <c r="VZT189" s="1362"/>
      <c r="VZU189" s="955"/>
      <c r="VZV189" s="963"/>
      <c r="VZW189" s="2242"/>
      <c r="VZX189" s="1360"/>
      <c r="VZY189" s="1360"/>
      <c r="VZZ189" s="1360"/>
      <c r="WAA189" s="1360"/>
      <c r="WAB189" s="1362"/>
      <c r="WAC189" s="955"/>
      <c r="WAD189" s="963"/>
      <c r="WAE189" s="2242"/>
      <c r="WAF189" s="1360"/>
      <c r="WAG189" s="1360"/>
      <c r="WAH189" s="1360"/>
      <c r="WAI189" s="1360"/>
      <c r="WAJ189" s="1362"/>
      <c r="WAK189" s="955"/>
      <c r="WAL189" s="963"/>
      <c r="WAM189" s="2242"/>
      <c r="WAN189" s="1360"/>
      <c r="WAO189" s="1360"/>
      <c r="WAP189" s="1360"/>
      <c r="WAQ189" s="1360"/>
      <c r="WAR189" s="1362"/>
      <c r="WAS189" s="955"/>
      <c r="WAT189" s="963"/>
      <c r="WAU189" s="2242"/>
      <c r="WAV189" s="1360"/>
      <c r="WAW189" s="1360"/>
      <c r="WAX189" s="1360"/>
      <c r="WAY189" s="1360"/>
      <c r="WAZ189" s="1362"/>
      <c r="WBA189" s="955"/>
      <c r="WBB189" s="963"/>
      <c r="WBC189" s="2242"/>
      <c r="WBD189" s="1360"/>
      <c r="WBE189" s="1360"/>
      <c r="WBF189" s="1360"/>
      <c r="WBG189" s="1360"/>
      <c r="WBH189" s="1362"/>
      <c r="WBI189" s="955"/>
      <c r="WBJ189" s="963"/>
      <c r="WBK189" s="2242"/>
      <c r="WBL189" s="1360"/>
      <c r="WBM189" s="1360"/>
      <c r="WBN189" s="1360"/>
      <c r="WBO189" s="1360"/>
      <c r="WBP189" s="1362"/>
      <c r="WBQ189" s="955"/>
      <c r="WBR189" s="963"/>
      <c r="WBS189" s="2242"/>
      <c r="WBT189" s="1360"/>
      <c r="WBU189" s="1360"/>
      <c r="WBV189" s="1360"/>
      <c r="WBW189" s="1360"/>
      <c r="WBX189" s="1362"/>
      <c r="WBY189" s="955"/>
      <c r="WBZ189" s="963"/>
      <c r="WCA189" s="2242"/>
      <c r="WCB189" s="1360"/>
      <c r="WCC189" s="1360"/>
      <c r="WCD189" s="1360"/>
      <c r="WCE189" s="1360"/>
      <c r="WCF189" s="1362"/>
      <c r="WCG189" s="955"/>
      <c r="WCH189" s="963"/>
      <c r="WCI189" s="2242"/>
      <c r="WCJ189" s="1360"/>
      <c r="WCK189" s="1360"/>
      <c r="WCL189" s="1360"/>
      <c r="WCM189" s="1360"/>
      <c r="WCN189" s="1362"/>
      <c r="WCO189" s="955"/>
      <c r="WCP189" s="963"/>
      <c r="WCQ189" s="2242"/>
      <c r="WCR189" s="1360"/>
      <c r="WCS189" s="1360"/>
      <c r="WCT189" s="1360"/>
      <c r="WCU189" s="1360"/>
      <c r="WCV189" s="1362"/>
      <c r="WCW189" s="955"/>
      <c r="WCX189" s="963"/>
      <c r="WCY189" s="2242"/>
      <c r="WCZ189" s="1360"/>
      <c r="WDA189" s="1360"/>
      <c r="WDB189" s="1360"/>
      <c r="WDC189" s="1360"/>
      <c r="WDD189" s="1362"/>
      <c r="WDE189" s="955"/>
      <c r="WDF189" s="963"/>
      <c r="WDG189" s="2242"/>
      <c r="WDH189" s="1360"/>
      <c r="WDI189" s="1360"/>
      <c r="WDJ189" s="1360"/>
      <c r="WDK189" s="1360"/>
      <c r="WDL189" s="1362"/>
      <c r="WDM189" s="955"/>
      <c r="WDN189" s="963"/>
      <c r="WDO189" s="2242"/>
      <c r="WDP189" s="1360"/>
      <c r="WDQ189" s="1360"/>
      <c r="WDR189" s="1360"/>
      <c r="WDS189" s="1360"/>
      <c r="WDT189" s="1362"/>
      <c r="WDU189" s="955"/>
      <c r="WDV189" s="963"/>
      <c r="WDW189" s="2242"/>
      <c r="WDX189" s="1360"/>
      <c r="WDY189" s="1360"/>
      <c r="WDZ189" s="1360"/>
      <c r="WEA189" s="1360"/>
      <c r="WEB189" s="1362"/>
      <c r="WEC189" s="955"/>
      <c r="WED189" s="963"/>
      <c r="WEE189" s="2242"/>
      <c r="WEF189" s="1360"/>
      <c r="WEG189" s="1360"/>
      <c r="WEH189" s="1360"/>
      <c r="WEI189" s="1360"/>
      <c r="WEJ189" s="1362"/>
      <c r="WEK189" s="955"/>
      <c r="WEL189" s="963"/>
      <c r="WEM189" s="2242"/>
      <c r="WEN189" s="1360"/>
      <c r="WEO189" s="1360"/>
      <c r="WEP189" s="1360"/>
      <c r="WEQ189" s="1360"/>
      <c r="WER189" s="1362"/>
      <c r="WES189" s="955"/>
      <c r="WET189" s="963"/>
      <c r="WEU189" s="2242"/>
      <c r="WEV189" s="1360"/>
      <c r="WEW189" s="1360"/>
      <c r="WEX189" s="1360"/>
      <c r="WEY189" s="1360"/>
      <c r="WEZ189" s="1362"/>
      <c r="WFA189" s="955"/>
      <c r="WFB189" s="963"/>
      <c r="WFC189" s="2242"/>
      <c r="WFD189" s="1360"/>
      <c r="WFE189" s="1360"/>
      <c r="WFF189" s="1360"/>
      <c r="WFG189" s="1360"/>
      <c r="WFH189" s="1362"/>
      <c r="WFI189" s="955"/>
      <c r="WFJ189" s="963"/>
      <c r="WFK189" s="2242"/>
      <c r="WFL189" s="1360"/>
      <c r="WFM189" s="1360"/>
      <c r="WFN189" s="1360"/>
      <c r="WFO189" s="1360"/>
      <c r="WFP189" s="1362"/>
      <c r="WFQ189" s="955"/>
      <c r="WFR189" s="963"/>
      <c r="WFS189" s="2242"/>
      <c r="WFT189" s="1360"/>
      <c r="WFU189" s="1360"/>
      <c r="WFV189" s="1360"/>
      <c r="WFW189" s="1360"/>
      <c r="WFX189" s="1362"/>
      <c r="WFY189" s="955"/>
      <c r="WFZ189" s="963"/>
      <c r="WGA189" s="2242"/>
      <c r="WGB189" s="1360"/>
      <c r="WGC189" s="1360"/>
      <c r="WGD189" s="1360"/>
      <c r="WGE189" s="1360"/>
      <c r="WGF189" s="1362"/>
      <c r="WGG189" s="955"/>
      <c r="WGH189" s="963"/>
      <c r="WGI189" s="2242"/>
      <c r="WGJ189" s="1360"/>
      <c r="WGK189" s="1360"/>
      <c r="WGL189" s="1360"/>
      <c r="WGM189" s="1360"/>
      <c r="WGN189" s="1362"/>
      <c r="WGO189" s="955"/>
      <c r="WGP189" s="963"/>
      <c r="WGQ189" s="2242"/>
      <c r="WGR189" s="1360"/>
      <c r="WGS189" s="1360"/>
      <c r="WGT189" s="1360"/>
      <c r="WGU189" s="1360"/>
      <c r="WGV189" s="1362"/>
      <c r="WGW189" s="955"/>
      <c r="WGX189" s="963"/>
      <c r="WGY189" s="2242"/>
      <c r="WGZ189" s="1360"/>
      <c r="WHA189" s="1360"/>
      <c r="WHB189" s="1360"/>
      <c r="WHC189" s="1360"/>
      <c r="WHD189" s="1362"/>
      <c r="WHE189" s="955"/>
      <c r="WHF189" s="963"/>
      <c r="WHG189" s="2242"/>
      <c r="WHH189" s="1360"/>
      <c r="WHI189" s="1360"/>
      <c r="WHJ189" s="1360"/>
      <c r="WHK189" s="1360"/>
      <c r="WHL189" s="1362"/>
      <c r="WHM189" s="955"/>
      <c r="WHN189" s="963"/>
      <c r="WHO189" s="2242"/>
      <c r="WHP189" s="1360"/>
      <c r="WHQ189" s="1360"/>
      <c r="WHR189" s="1360"/>
      <c r="WHS189" s="1360"/>
      <c r="WHT189" s="1362"/>
      <c r="WHU189" s="955"/>
      <c r="WHV189" s="963"/>
      <c r="WHW189" s="2242"/>
      <c r="WHX189" s="1360"/>
      <c r="WHY189" s="1360"/>
      <c r="WHZ189" s="1360"/>
      <c r="WIA189" s="1360"/>
      <c r="WIB189" s="1362"/>
      <c r="WIC189" s="955"/>
      <c r="WID189" s="963"/>
      <c r="WIE189" s="2242"/>
      <c r="WIF189" s="1360"/>
      <c r="WIG189" s="1360"/>
      <c r="WIH189" s="1360"/>
      <c r="WII189" s="1360"/>
      <c r="WIJ189" s="1362"/>
      <c r="WIK189" s="955"/>
      <c r="WIL189" s="963"/>
      <c r="WIM189" s="2242"/>
      <c r="WIN189" s="1360"/>
      <c r="WIO189" s="1360"/>
      <c r="WIP189" s="1360"/>
      <c r="WIQ189" s="1360"/>
      <c r="WIR189" s="1362"/>
      <c r="WIS189" s="955"/>
      <c r="WIT189" s="963"/>
      <c r="WIU189" s="2242"/>
      <c r="WIV189" s="1360"/>
      <c r="WIW189" s="1360"/>
      <c r="WIX189" s="1360"/>
      <c r="WIY189" s="1360"/>
      <c r="WIZ189" s="1362"/>
      <c r="WJA189" s="955"/>
      <c r="WJB189" s="963"/>
      <c r="WJC189" s="2242"/>
      <c r="WJD189" s="1360"/>
      <c r="WJE189" s="1360"/>
      <c r="WJF189" s="1360"/>
      <c r="WJG189" s="1360"/>
      <c r="WJH189" s="1362"/>
      <c r="WJI189" s="955"/>
      <c r="WJJ189" s="963"/>
      <c r="WJK189" s="2242"/>
      <c r="WJL189" s="1360"/>
      <c r="WJM189" s="1360"/>
      <c r="WJN189" s="1360"/>
      <c r="WJO189" s="1360"/>
      <c r="WJP189" s="1362"/>
      <c r="WJQ189" s="955"/>
      <c r="WJR189" s="963"/>
      <c r="WJS189" s="2242"/>
      <c r="WJT189" s="1360"/>
      <c r="WJU189" s="1360"/>
      <c r="WJV189" s="1360"/>
      <c r="WJW189" s="1360"/>
      <c r="WJX189" s="1362"/>
      <c r="WJY189" s="955"/>
      <c r="WJZ189" s="963"/>
      <c r="WKA189" s="2242"/>
      <c r="WKB189" s="1360"/>
      <c r="WKC189" s="1360"/>
      <c r="WKD189" s="1360"/>
      <c r="WKE189" s="1360"/>
      <c r="WKF189" s="1362"/>
      <c r="WKG189" s="955"/>
      <c r="WKH189" s="963"/>
      <c r="WKI189" s="2242"/>
      <c r="WKJ189" s="1360"/>
      <c r="WKK189" s="1360"/>
      <c r="WKL189" s="1360"/>
      <c r="WKM189" s="1360"/>
      <c r="WKN189" s="1362"/>
      <c r="WKO189" s="955"/>
      <c r="WKP189" s="963"/>
      <c r="WKQ189" s="2242"/>
      <c r="WKR189" s="1360"/>
      <c r="WKS189" s="1360"/>
      <c r="WKT189" s="1360"/>
      <c r="WKU189" s="1360"/>
      <c r="WKV189" s="1362"/>
      <c r="WKW189" s="955"/>
      <c r="WKX189" s="963"/>
      <c r="WKY189" s="2242"/>
      <c r="WKZ189" s="1360"/>
      <c r="WLA189" s="1360"/>
      <c r="WLB189" s="1360"/>
      <c r="WLC189" s="1360"/>
      <c r="WLD189" s="1362"/>
      <c r="WLE189" s="955"/>
      <c r="WLF189" s="963"/>
      <c r="WLG189" s="2242"/>
      <c r="WLH189" s="1360"/>
      <c r="WLI189" s="1360"/>
      <c r="WLJ189" s="1360"/>
      <c r="WLK189" s="1360"/>
      <c r="WLL189" s="1362"/>
      <c r="WLM189" s="955"/>
      <c r="WLN189" s="963"/>
      <c r="WLO189" s="2242"/>
      <c r="WLP189" s="1360"/>
      <c r="WLQ189" s="1360"/>
      <c r="WLR189" s="1360"/>
      <c r="WLS189" s="1360"/>
      <c r="WLT189" s="1362"/>
      <c r="WLU189" s="955"/>
      <c r="WLV189" s="963"/>
      <c r="WLW189" s="2242"/>
      <c r="WLX189" s="1360"/>
      <c r="WLY189" s="1360"/>
      <c r="WLZ189" s="1360"/>
      <c r="WMA189" s="1360"/>
      <c r="WMB189" s="1362"/>
      <c r="WMC189" s="955"/>
      <c r="WMD189" s="963"/>
      <c r="WME189" s="2242"/>
      <c r="WMF189" s="1360"/>
      <c r="WMG189" s="1360"/>
      <c r="WMH189" s="1360"/>
      <c r="WMI189" s="1360"/>
      <c r="WMJ189" s="1362"/>
      <c r="WMK189" s="955"/>
      <c r="WML189" s="963"/>
      <c r="WMM189" s="2242"/>
      <c r="WMN189" s="1360"/>
      <c r="WMO189" s="1360"/>
      <c r="WMP189" s="1360"/>
      <c r="WMQ189" s="1360"/>
      <c r="WMR189" s="1362"/>
      <c r="WMS189" s="955"/>
      <c r="WMT189" s="963"/>
      <c r="WMU189" s="2242"/>
      <c r="WMV189" s="1360"/>
      <c r="WMW189" s="1360"/>
      <c r="WMX189" s="1360"/>
      <c r="WMY189" s="1360"/>
      <c r="WMZ189" s="1362"/>
      <c r="WNA189" s="955"/>
      <c r="WNB189" s="963"/>
      <c r="WNC189" s="2242"/>
      <c r="WND189" s="1360"/>
      <c r="WNE189" s="1360"/>
      <c r="WNF189" s="1360"/>
      <c r="WNG189" s="1360"/>
      <c r="WNH189" s="1362"/>
      <c r="WNI189" s="955"/>
      <c r="WNJ189" s="963"/>
      <c r="WNK189" s="2242"/>
      <c r="WNL189" s="1360"/>
      <c r="WNM189" s="1360"/>
      <c r="WNN189" s="1360"/>
      <c r="WNO189" s="1360"/>
      <c r="WNP189" s="1362"/>
      <c r="WNQ189" s="955"/>
      <c r="WNR189" s="963"/>
      <c r="WNS189" s="2242"/>
      <c r="WNT189" s="1360"/>
      <c r="WNU189" s="1360"/>
      <c r="WNV189" s="1360"/>
      <c r="WNW189" s="1360"/>
      <c r="WNX189" s="1362"/>
      <c r="WNY189" s="955"/>
      <c r="WNZ189" s="963"/>
      <c r="WOA189" s="2242"/>
      <c r="WOB189" s="1360"/>
      <c r="WOC189" s="1360"/>
      <c r="WOD189" s="1360"/>
      <c r="WOE189" s="1360"/>
      <c r="WOF189" s="1362"/>
      <c r="WOG189" s="955"/>
      <c r="WOH189" s="963"/>
      <c r="WOI189" s="2242"/>
      <c r="WOJ189" s="1360"/>
      <c r="WOK189" s="1360"/>
      <c r="WOL189" s="1360"/>
      <c r="WOM189" s="1360"/>
      <c r="WON189" s="1362"/>
      <c r="WOO189" s="955"/>
      <c r="WOP189" s="963"/>
      <c r="WOQ189" s="2242"/>
      <c r="WOR189" s="1360"/>
      <c r="WOS189" s="1360"/>
      <c r="WOT189" s="1360"/>
      <c r="WOU189" s="1360"/>
      <c r="WOV189" s="1362"/>
      <c r="WOW189" s="955"/>
      <c r="WOX189" s="963"/>
      <c r="WOY189" s="2242"/>
      <c r="WOZ189" s="1360"/>
      <c r="WPA189" s="1360"/>
      <c r="WPB189" s="1360"/>
      <c r="WPC189" s="1360"/>
      <c r="WPD189" s="1362"/>
      <c r="WPE189" s="955"/>
      <c r="WPF189" s="963"/>
      <c r="WPG189" s="2242"/>
      <c r="WPH189" s="1360"/>
      <c r="WPI189" s="1360"/>
      <c r="WPJ189" s="1360"/>
      <c r="WPK189" s="1360"/>
      <c r="WPL189" s="1362"/>
      <c r="WPM189" s="955"/>
      <c r="WPN189" s="963"/>
      <c r="WPO189" s="2242"/>
      <c r="WPP189" s="1360"/>
      <c r="WPQ189" s="1360"/>
      <c r="WPR189" s="1360"/>
      <c r="WPS189" s="1360"/>
      <c r="WPT189" s="1362"/>
      <c r="WPU189" s="955"/>
      <c r="WPV189" s="963"/>
      <c r="WPW189" s="2242"/>
      <c r="WPX189" s="1360"/>
      <c r="WPY189" s="1360"/>
      <c r="WPZ189" s="1360"/>
      <c r="WQA189" s="1360"/>
      <c r="WQB189" s="1362"/>
      <c r="WQC189" s="955"/>
      <c r="WQD189" s="963"/>
      <c r="WQE189" s="2242"/>
      <c r="WQF189" s="1360"/>
      <c r="WQG189" s="1360"/>
      <c r="WQH189" s="1360"/>
      <c r="WQI189" s="1360"/>
      <c r="WQJ189" s="1362"/>
      <c r="WQK189" s="955"/>
      <c r="WQL189" s="963"/>
      <c r="WQM189" s="2242"/>
      <c r="WQN189" s="1360"/>
      <c r="WQO189" s="1360"/>
      <c r="WQP189" s="1360"/>
      <c r="WQQ189" s="1360"/>
      <c r="WQR189" s="1362"/>
      <c r="WQS189" s="955"/>
      <c r="WQT189" s="963"/>
      <c r="WQU189" s="2242"/>
      <c r="WQV189" s="1360"/>
      <c r="WQW189" s="1360"/>
      <c r="WQX189" s="1360"/>
      <c r="WQY189" s="1360"/>
      <c r="WQZ189" s="1362"/>
      <c r="WRA189" s="955"/>
      <c r="WRB189" s="963"/>
      <c r="WRC189" s="2242"/>
      <c r="WRD189" s="1360"/>
      <c r="WRE189" s="1360"/>
      <c r="WRF189" s="1360"/>
      <c r="WRG189" s="1360"/>
      <c r="WRH189" s="1362"/>
      <c r="WRI189" s="955"/>
      <c r="WRJ189" s="963"/>
      <c r="WRK189" s="2242"/>
      <c r="WRL189" s="1360"/>
      <c r="WRM189" s="1360"/>
      <c r="WRN189" s="1360"/>
      <c r="WRO189" s="1360"/>
      <c r="WRP189" s="1362"/>
      <c r="WRQ189" s="955"/>
      <c r="WRR189" s="963"/>
      <c r="WRS189" s="2242"/>
      <c r="WRT189" s="1360"/>
      <c r="WRU189" s="1360"/>
      <c r="WRV189" s="1360"/>
      <c r="WRW189" s="1360"/>
      <c r="WRX189" s="1362"/>
      <c r="WRY189" s="955"/>
      <c r="WRZ189" s="963"/>
      <c r="WSA189" s="2242"/>
      <c r="WSB189" s="1360"/>
      <c r="WSC189" s="1360"/>
      <c r="WSD189" s="1360"/>
      <c r="WSE189" s="1360"/>
      <c r="WSF189" s="1362"/>
      <c r="WSG189" s="955"/>
      <c r="WSH189" s="963"/>
      <c r="WSI189" s="2242"/>
      <c r="WSJ189" s="1360"/>
      <c r="WSK189" s="1360"/>
      <c r="WSL189" s="1360"/>
      <c r="WSM189" s="1360"/>
      <c r="WSN189" s="1362"/>
      <c r="WSO189" s="955"/>
      <c r="WSP189" s="963"/>
      <c r="WSQ189" s="2242"/>
      <c r="WSR189" s="1360"/>
      <c r="WSS189" s="1360"/>
      <c r="WST189" s="1360"/>
      <c r="WSU189" s="1360"/>
      <c r="WSV189" s="1362"/>
      <c r="WSW189" s="955"/>
      <c r="WSX189" s="963"/>
      <c r="WSY189" s="2242"/>
      <c r="WSZ189" s="1360"/>
      <c r="WTA189" s="1360"/>
      <c r="WTB189" s="1360"/>
      <c r="WTC189" s="1360"/>
      <c r="WTD189" s="1362"/>
      <c r="WTE189" s="955"/>
      <c r="WTF189" s="963"/>
      <c r="WTG189" s="2242"/>
      <c r="WTH189" s="1360"/>
      <c r="WTI189" s="1360"/>
      <c r="WTJ189" s="1360"/>
      <c r="WTK189" s="1360"/>
      <c r="WTL189" s="1362"/>
      <c r="WTM189" s="955"/>
      <c r="WTN189" s="963"/>
      <c r="WTO189" s="2242"/>
      <c r="WTP189" s="1360"/>
      <c r="WTQ189" s="1360"/>
      <c r="WTR189" s="1360"/>
      <c r="WTS189" s="1360"/>
      <c r="WTT189" s="1362"/>
      <c r="WTU189" s="955"/>
      <c r="WTV189" s="963"/>
      <c r="WTW189" s="2242"/>
      <c r="WTX189" s="1360"/>
      <c r="WTY189" s="1360"/>
      <c r="WTZ189" s="1360"/>
      <c r="WUA189" s="1360"/>
      <c r="WUB189" s="1362"/>
      <c r="WUC189" s="955"/>
      <c r="WUD189" s="963"/>
      <c r="WUE189" s="2242"/>
      <c r="WUF189" s="1360"/>
      <c r="WUG189" s="1360"/>
      <c r="WUH189" s="1360"/>
      <c r="WUI189" s="1360"/>
      <c r="WUJ189" s="1362"/>
      <c r="WUK189" s="955"/>
      <c r="WUL189" s="963"/>
      <c r="WUM189" s="2242"/>
      <c r="WUN189" s="1360"/>
      <c r="WUO189" s="1360"/>
      <c r="WUP189" s="1360"/>
      <c r="WUQ189" s="1360"/>
      <c r="WUR189" s="1362"/>
      <c r="WUS189" s="955"/>
      <c r="WUT189" s="963"/>
      <c r="WUU189" s="2242"/>
      <c r="WUV189" s="1360"/>
      <c r="WUW189" s="1360"/>
      <c r="WUX189" s="1360"/>
      <c r="WUY189" s="1360"/>
      <c r="WUZ189" s="1362"/>
      <c r="WVA189" s="955"/>
      <c r="WVB189" s="963"/>
      <c r="WVC189" s="2242"/>
      <c r="WVD189" s="1360"/>
      <c r="WVE189" s="1360"/>
      <c r="WVF189" s="1360"/>
      <c r="WVG189" s="1360"/>
      <c r="WVH189" s="1362"/>
      <c r="WVI189" s="955"/>
      <c r="WVJ189" s="963"/>
      <c r="WVK189" s="2242"/>
      <c r="WVL189" s="1360"/>
      <c r="WVM189" s="1360"/>
      <c r="WVN189" s="1360"/>
      <c r="WVO189" s="1360"/>
      <c r="WVP189" s="1362"/>
      <c r="WVQ189" s="955"/>
      <c r="WVR189" s="963"/>
      <c r="WVS189" s="2242"/>
      <c r="WVT189" s="1360"/>
      <c r="WVU189" s="1360"/>
      <c r="WVV189" s="1360"/>
      <c r="WVW189" s="1360"/>
      <c r="WVX189" s="1362"/>
      <c r="WVY189" s="955"/>
      <c r="WVZ189" s="963"/>
      <c r="WWA189" s="2242"/>
      <c r="WWB189" s="1360"/>
      <c r="WWC189" s="1360"/>
      <c r="WWD189" s="1360"/>
      <c r="WWE189" s="1360"/>
      <c r="WWF189" s="1362"/>
      <c r="WWG189" s="955"/>
      <c r="WWH189" s="963"/>
      <c r="WWI189" s="2242"/>
      <c r="WWJ189" s="1360"/>
      <c r="WWK189" s="1360"/>
      <c r="WWL189" s="1360"/>
      <c r="WWM189" s="1360"/>
      <c r="WWN189" s="1362"/>
      <c r="WWO189" s="955"/>
      <c r="WWP189" s="963"/>
      <c r="WWQ189" s="2242"/>
      <c r="WWR189" s="1360"/>
      <c r="WWS189" s="1360"/>
      <c r="WWT189" s="1360"/>
      <c r="WWU189" s="1360"/>
      <c r="WWV189" s="1362"/>
      <c r="WWW189" s="955"/>
      <c r="WWX189" s="963"/>
      <c r="WWY189" s="2242"/>
      <c r="WWZ189" s="1360"/>
      <c r="WXA189" s="1360"/>
      <c r="WXB189" s="1360"/>
      <c r="WXC189" s="1360"/>
      <c r="WXD189" s="1362"/>
      <c r="WXE189" s="955"/>
      <c r="WXF189" s="963"/>
      <c r="WXG189" s="2242"/>
      <c r="WXH189" s="1360"/>
      <c r="WXI189" s="1360"/>
      <c r="WXJ189" s="1360"/>
      <c r="WXK189" s="1360"/>
      <c r="WXL189" s="1362"/>
      <c r="WXM189" s="955"/>
      <c r="WXN189" s="963"/>
      <c r="WXO189" s="2242"/>
      <c r="WXP189" s="1360"/>
      <c r="WXQ189" s="1360"/>
      <c r="WXR189" s="1360"/>
      <c r="WXS189" s="1360"/>
      <c r="WXT189" s="1362"/>
      <c r="WXU189" s="955"/>
      <c r="WXV189" s="963"/>
      <c r="WXW189" s="2242"/>
      <c r="WXX189" s="1360"/>
      <c r="WXY189" s="1360"/>
      <c r="WXZ189" s="1360"/>
      <c r="WYA189" s="1360"/>
      <c r="WYB189" s="1362"/>
      <c r="WYC189" s="955"/>
      <c r="WYD189" s="963"/>
      <c r="WYE189" s="2242"/>
      <c r="WYF189" s="1360"/>
      <c r="WYG189" s="1360"/>
      <c r="WYH189" s="1360"/>
      <c r="WYI189" s="1360"/>
      <c r="WYJ189" s="1362"/>
      <c r="WYK189" s="955"/>
      <c r="WYL189" s="963"/>
      <c r="WYM189" s="2242"/>
      <c r="WYN189" s="1360"/>
      <c r="WYO189" s="1360"/>
      <c r="WYP189" s="1360"/>
      <c r="WYQ189" s="1360"/>
      <c r="WYR189" s="1362"/>
      <c r="WYS189" s="955"/>
      <c r="WYT189" s="963"/>
      <c r="WYU189" s="2242"/>
      <c r="WYV189" s="1360"/>
      <c r="WYW189" s="1360"/>
      <c r="WYX189" s="1360"/>
      <c r="WYY189" s="1360"/>
      <c r="WYZ189" s="1362"/>
      <c r="WZA189" s="955"/>
      <c r="WZB189" s="963"/>
      <c r="WZC189" s="2242"/>
      <c r="WZD189" s="1360"/>
      <c r="WZE189" s="1360"/>
      <c r="WZF189" s="1360"/>
      <c r="WZG189" s="1360"/>
      <c r="WZH189" s="1362"/>
      <c r="WZI189" s="955"/>
      <c r="WZJ189" s="963"/>
      <c r="WZK189" s="2242"/>
      <c r="WZL189" s="1360"/>
      <c r="WZM189" s="1360"/>
      <c r="WZN189" s="1360"/>
      <c r="WZO189" s="1360"/>
      <c r="WZP189" s="1362"/>
      <c r="WZQ189" s="955"/>
      <c r="WZR189" s="963"/>
      <c r="WZS189" s="2242"/>
      <c r="WZT189" s="1360"/>
      <c r="WZU189" s="1360"/>
      <c r="WZV189" s="1360"/>
      <c r="WZW189" s="1360"/>
      <c r="WZX189" s="1362"/>
      <c r="WZY189" s="955"/>
      <c r="WZZ189" s="963"/>
      <c r="XAA189" s="2242"/>
      <c r="XAB189" s="1360"/>
      <c r="XAC189" s="1360"/>
      <c r="XAD189" s="1360"/>
      <c r="XAE189" s="1360"/>
      <c r="XAF189" s="1362"/>
      <c r="XAG189" s="955"/>
      <c r="XAH189" s="963"/>
      <c r="XAI189" s="2242"/>
      <c r="XAJ189" s="1360"/>
      <c r="XAK189" s="1360"/>
      <c r="XAL189" s="1360"/>
      <c r="XAM189" s="1360"/>
      <c r="XAN189" s="1362"/>
      <c r="XAO189" s="955"/>
      <c r="XAP189" s="963"/>
      <c r="XAQ189" s="2242"/>
      <c r="XAR189" s="1360"/>
      <c r="XAS189" s="1360"/>
      <c r="XAT189" s="1360"/>
      <c r="XAU189" s="1360"/>
      <c r="XAV189" s="1362"/>
      <c r="XAW189" s="955"/>
      <c r="XAX189" s="963"/>
      <c r="XAY189" s="2242"/>
      <c r="XAZ189" s="1360"/>
      <c r="XBA189" s="1360"/>
      <c r="XBB189" s="1360"/>
      <c r="XBC189" s="1360"/>
      <c r="XBD189" s="1362"/>
      <c r="XBE189" s="955"/>
      <c r="XBF189" s="963"/>
      <c r="XBG189" s="2242"/>
      <c r="XBH189" s="1360"/>
      <c r="XBI189" s="1360"/>
      <c r="XBJ189" s="1360"/>
      <c r="XBK189" s="1360"/>
      <c r="XBL189" s="1362"/>
      <c r="XBM189" s="955"/>
      <c r="XBN189" s="963"/>
      <c r="XBO189" s="2242"/>
      <c r="XBP189" s="1360"/>
      <c r="XBQ189" s="1360"/>
      <c r="XBR189" s="1360"/>
      <c r="XBS189" s="1360"/>
      <c r="XBT189" s="1362"/>
      <c r="XBU189" s="955"/>
      <c r="XBV189" s="963"/>
      <c r="XBW189" s="2242"/>
      <c r="XBX189" s="1360"/>
      <c r="XBY189" s="1360"/>
      <c r="XBZ189" s="1360"/>
      <c r="XCA189" s="1360"/>
      <c r="XCB189" s="1362"/>
      <c r="XCC189" s="955"/>
      <c r="XCD189" s="963"/>
      <c r="XCE189" s="2242"/>
      <c r="XCF189" s="1360"/>
      <c r="XCG189" s="1360"/>
      <c r="XCH189" s="1360"/>
      <c r="XCI189" s="1360"/>
      <c r="XCJ189" s="1362"/>
      <c r="XCK189" s="955"/>
      <c r="XCL189" s="963"/>
      <c r="XCM189" s="2242"/>
      <c r="XCN189" s="1360"/>
      <c r="XCO189" s="1360"/>
      <c r="XCP189" s="1360"/>
      <c r="XCQ189" s="1360"/>
      <c r="XCR189" s="1362"/>
      <c r="XCS189" s="955"/>
      <c r="XCT189" s="963"/>
      <c r="XCU189" s="2242"/>
      <c r="XCV189" s="1360"/>
      <c r="XCW189" s="1360"/>
      <c r="XCX189" s="1360"/>
      <c r="XCY189" s="1360"/>
      <c r="XCZ189" s="1362"/>
      <c r="XDA189" s="955"/>
      <c r="XDB189" s="963"/>
      <c r="XDC189" s="2242"/>
      <c r="XDD189" s="1360"/>
      <c r="XDE189" s="1360"/>
      <c r="XDF189" s="1360"/>
      <c r="XDG189" s="1360"/>
      <c r="XDH189" s="1362"/>
      <c r="XDI189" s="955"/>
      <c r="XDJ189" s="963"/>
      <c r="XDK189" s="2242"/>
      <c r="XDL189" s="1360"/>
      <c r="XDM189" s="1360"/>
      <c r="XDN189" s="1360"/>
      <c r="XDO189" s="1360"/>
      <c r="XDP189" s="1362"/>
      <c r="XDQ189" s="955"/>
      <c r="XDR189" s="963"/>
      <c r="XDS189" s="2242"/>
      <c r="XDT189" s="1360"/>
      <c r="XDU189" s="1360"/>
      <c r="XDV189" s="1360"/>
      <c r="XDW189" s="1360"/>
      <c r="XDX189" s="1362"/>
      <c r="XDY189" s="955"/>
      <c r="XDZ189" s="963"/>
      <c r="XEA189" s="2242"/>
      <c r="XEB189" s="1360"/>
      <c r="XEC189" s="1360"/>
      <c r="XED189" s="1360"/>
      <c r="XEE189" s="1360"/>
      <c r="XEF189" s="1362"/>
      <c r="XEG189" s="955"/>
      <c r="XEH189" s="963"/>
      <c r="XEI189" s="2242"/>
      <c r="XEJ189" s="1360"/>
      <c r="XEK189" s="1360"/>
      <c r="XEL189" s="1360"/>
      <c r="XEM189" s="1360"/>
      <c r="XEN189" s="1362"/>
      <c r="XEO189" s="955"/>
      <c r="XEP189" s="963"/>
      <c r="XEQ189" s="2242"/>
      <c r="XER189" s="1360"/>
      <c r="XES189" s="1360"/>
      <c r="XET189" s="1360"/>
      <c r="XEU189" s="1360"/>
      <c r="XEV189" s="1362"/>
      <c r="XEW189" s="955"/>
      <c r="XEX189" s="963"/>
      <c r="XEY189" s="2242"/>
      <c r="XEZ189" s="1360"/>
      <c r="XFA189" s="1360"/>
      <c r="XFB189" s="1360"/>
      <c r="XFC189" s="1360"/>
      <c r="XFD189" s="1362"/>
    </row>
    <row r="190" spans="1:16384" s="6" customFormat="1" x14ac:dyDescent="0.25">
      <c r="A190" s="1916">
        <v>116</v>
      </c>
      <c r="B190" s="1916" t="s">
        <v>816</v>
      </c>
      <c r="C190" s="955"/>
      <c r="D190" s="955"/>
      <c r="E190" s="1932" t="s">
        <v>93</v>
      </c>
      <c r="F190" s="1934"/>
      <c r="G190" s="1934">
        <v>250</v>
      </c>
      <c r="H190" s="1934">
        <v>0</v>
      </c>
      <c r="I190" s="1934">
        <v>0</v>
      </c>
      <c r="J190" s="1934">
        <f>SUM(G190:I190)</f>
        <v>250</v>
      </c>
      <c r="K190" s="965"/>
    </row>
    <row r="191" spans="1:16384" s="6" customFormat="1" x14ac:dyDescent="0.25">
      <c r="A191" s="1916"/>
      <c r="B191" s="1916"/>
      <c r="C191" s="955"/>
      <c r="D191" s="955"/>
      <c r="E191" s="1932" t="s">
        <v>699</v>
      </c>
      <c r="F191" s="1934"/>
      <c r="G191" s="1934">
        <v>100</v>
      </c>
      <c r="H191" s="1934">
        <v>50</v>
      </c>
      <c r="I191" s="1934">
        <v>0</v>
      </c>
      <c r="J191" s="1934">
        <f t="shared" ref="J191:J197" si="6">SUM(G191:I191)</f>
        <v>150</v>
      </c>
      <c r="K191" s="965"/>
    </row>
    <row r="192" spans="1:16384" s="6" customFormat="1" x14ac:dyDescent="0.25">
      <c r="A192" s="1916"/>
      <c r="B192" s="1916"/>
      <c r="C192" s="955"/>
      <c r="D192" s="955"/>
      <c r="E192" s="1932" t="s">
        <v>262</v>
      </c>
      <c r="F192" s="1934"/>
      <c r="G192" s="1934">
        <v>10</v>
      </c>
      <c r="H192" s="1934">
        <v>106</v>
      </c>
      <c r="I192" s="1934">
        <v>0</v>
      </c>
      <c r="J192" s="1934">
        <f t="shared" si="6"/>
        <v>116</v>
      </c>
      <c r="K192" s="965"/>
    </row>
    <row r="193" spans="1:11" s="6" customFormat="1" x14ac:dyDescent="0.25">
      <c r="A193" s="1916"/>
      <c r="B193" s="1916"/>
      <c r="C193" s="955"/>
      <c r="D193" s="955"/>
      <c r="E193" s="1932" t="s">
        <v>348</v>
      </c>
      <c r="F193" s="1934"/>
      <c r="G193" s="1934">
        <v>60</v>
      </c>
      <c r="H193" s="1934">
        <v>0</v>
      </c>
      <c r="I193" s="1934">
        <v>0</v>
      </c>
      <c r="J193" s="1934">
        <f t="shared" si="6"/>
        <v>60</v>
      </c>
      <c r="K193" s="965"/>
    </row>
    <row r="194" spans="1:11" s="6" customFormat="1" x14ac:dyDescent="0.25">
      <c r="A194" s="1916">
        <v>140</v>
      </c>
      <c r="B194" s="1916" t="s">
        <v>817</v>
      </c>
      <c r="C194" s="955"/>
      <c r="D194" s="955"/>
      <c r="E194" s="1932" t="s">
        <v>319</v>
      </c>
      <c r="F194" s="1934"/>
      <c r="G194" s="1934">
        <v>40</v>
      </c>
      <c r="H194" s="1934">
        <v>60</v>
      </c>
      <c r="I194" s="1934">
        <v>40</v>
      </c>
      <c r="J194" s="1934">
        <f t="shared" si="6"/>
        <v>140</v>
      </c>
      <c r="K194" s="965"/>
    </row>
    <row r="195" spans="1:11" s="6" customFormat="1" x14ac:dyDescent="0.25">
      <c r="A195" s="1916">
        <v>138</v>
      </c>
      <c r="B195" s="257" t="s">
        <v>818</v>
      </c>
      <c r="C195" s="955"/>
      <c r="D195" s="955"/>
      <c r="E195" s="1932" t="s">
        <v>700</v>
      </c>
      <c r="F195" s="1934"/>
      <c r="G195" s="1934">
        <v>25</v>
      </c>
      <c r="H195" s="1942">
        <v>0</v>
      </c>
      <c r="I195" s="1934">
        <v>0</v>
      </c>
      <c r="J195" s="1934">
        <f t="shared" si="6"/>
        <v>25</v>
      </c>
      <c r="K195" s="965"/>
    </row>
    <row r="196" spans="1:11" s="6" customFormat="1" ht="28.5" customHeight="1" x14ac:dyDescent="0.25">
      <c r="A196" s="1916">
        <v>128</v>
      </c>
      <c r="B196" s="1916" t="s">
        <v>819</v>
      </c>
      <c r="C196" s="955"/>
      <c r="D196" s="955"/>
      <c r="E196" s="2243" t="s">
        <v>701</v>
      </c>
      <c r="F196" s="2243"/>
      <c r="G196" s="1932">
        <v>88</v>
      </c>
      <c r="H196" s="1934">
        <v>0</v>
      </c>
      <c r="I196" s="1934">
        <v>0</v>
      </c>
      <c r="J196" s="1934">
        <f t="shared" si="6"/>
        <v>88</v>
      </c>
      <c r="K196" s="965"/>
    </row>
    <row r="197" spans="1:11" s="6" customFormat="1" x14ac:dyDescent="0.25">
      <c r="A197" s="1916">
        <v>131</v>
      </c>
      <c r="B197" s="1916">
        <v>55</v>
      </c>
      <c r="C197" s="955"/>
      <c r="D197" s="955"/>
      <c r="E197" s="1932" t="s">
        <v>702</v>
      </c>
      <c r="F197" s="1932"/>
      <c r="G197" s="1934">
        <v>125</v>
      </c>
      <c r="H197" s="1934">
        <v>0</v>
      </c>
      <c r="I197" s="1934">
        <v>0</v>
      </c>
      <c r="J197" s="1934">
        <f t="shared" si="6"/>
        <v>125</v>
      </c>
      <c r="K197" s="965"/>
    </row>
    <row r="198" spans="1:11" s="6" customFormat="1" x14ac:dyDescent="0.25">
      <c r="A198" s="1916"/>
      <c r="B198" s="1916"/>
      <c r="C198" s="955"/>
      <c r="D198" s="955"/>
      <c r="E198" s="1939" t="s">
        <v>748</v>
      </c>
      <c r="F198" s="1934"/>
      <c r="G198" s="1940">
        <f t="shared" ref="G198" si="7">SUM(G190:G197)</f>
        <v>698</v>
      </c>
      <c r="H198" s="1940">
        <f t="shared" ref="H198" si="8">SUM(H190:H197)</f>
        <v>216</v>
      </c>
      <c r="I198" s="1940">
        <f>SUM(I190:I197)</f>
        <v>40</v>
      </c>
      <c r="J198" s="1941">
        <f>SUM(J190:J197)</f>
        <v>954</v>
      </c>
      <c r="K198" s="965"/>
    </row>
    <row r="199" spans="1:11" s="6" customFormat="1" ht="8.1" customHeight="1" x14ac:dyDescent="0.25">
      <c r="A199" s="1916"/>
      <c r="B199" s="1916"/>
      <c r="C199" s="955"/>
      <c r="D199" s="955"/>
      <c r="E199" s="1932"/>
      <c r="F199" s="1934"/>
      <c r="G199" s="1934"/>
      <c r="H199" s="1934"/>
      <c r="I199" s="1934"/>
      <c r="J199" s="1942"/>
      <c r="K199" s="965"/>
    </row>
    <row r="200" spans="1:11" s="6" customFormat="1" x14ac:dyDescent="0.25">
      <c r="A200" s="1916"/>
      <c r="B200" s="1916"/>
      <c r="C200" s="955"/>
      <c r="D200" s="955"/>
      <c r="E200" s="1937" t="s">
        <v>697</v>
      </c>
      <c r="F200" s="1934"/>
      <c r="G200" s="1934"/>
      <c r="H200" s="1934"/>
      <c r="I200" s="1934"/>
      <c r="J200" s="1942"/>
      <c r="K200" s="965"/>
    </row>
    <row r="201" spans="1:11" s="6" customFormat="1" ht="29.25" customHeight="1" x14ac:dyDescent="0.25">
      <c r="A201" s="1916">
        <v>101</v>
      </c>
      <c r="B201" s="1916" t="s">
        <v>1552</v>
      </c>
      <c r="C201" s="955"/>
      <c r="D201" s="955"/>
      <c r="E201" s="2243" t="s">
        <v>704</v>
      </c>
      <c r="F201" s="2243"/>
      <c r="G201" s="1932"/>
      <c r="H201" s="1934"/>
      <c r="I201" s="1934"/>
      <c r="J201" s="1942"/>
      <c r="K201" s="965"/>
    </row>
    <row r="202" spans="1:11" s="6" customFormat="1" x14ac:dyDescent="0.25">
      <c r="A202" s="1916"/>
      <c r="B202" s="1916"/>
      <c r="C202" s="955"/>
      <c r="D202" s="955"/>
      <c r="E202" s="1932" t="s">
        <v>1722</v>
      </c>
      <c r="F202" s="1933"/>
      <c r="G202" s="1933">
        <v>200</v>
      </c>
      <c r="H202" s="1934">
        <v>800</v>
      </c>
      <c r="I202" s="1934">
        <v>1263</v>
      </c>
      <c r="J202" s="1942">
        <f>SUM(G202:I202)</f>
        <v>2263</v>
      </c>
      <c r="K202" s="1390"/>
    </row>
    <row r="203" spans="1:11" s="6" customFormat="1" x14ac:dyDescent="0.25">
      <c r="A203" s="1916"/>
      <c r="B203" s="1916"/>
      <c r="C203" s="955"/>
      <c r="D203" s="955"/>
      <c r="E203" s="1932" t="s">
        <v>698</v>
      </c>
      <c r="F203" s="1934"/>
      <c r="G203" s="1934">
        <v>20</v>
      </c>
      <c r="H203" s="1934">
        <v>101</v>
      </c>
      <c r="I203" s="1934">
        <v>0</v>
      </c>
      <c r="J203" s="1942">
        <f>SUM(G203:I203)</f>
        <v>121</v>
      </c>
      <c r="K203" s="965"/>
    </row>
    <row r="204" spans="1:11" s="6" customFormat="1" x14ac:dyDescent="0.25">
      <c r="A204" s="1916"/>
      <c r="B204" s="1916"/>
      <c r="C204" s="955"/>
      <c r="D204" s="955"/>
      <c r="E204" s="1939" t="s">
        <v>747</v>
      </c>
      <c r="F204" s="1934"/>
      <c r="G204" s="1941">
        <f t="shared" ref="G204" si="9">SUM(G202:G203)</f>
        <v>220</v>
      </c>
      <c r="H204" s="1941">
        <f t="shared" ref="H204" si="10">SUM(H202:H203)</f>
        <v>901</v>
      </c>
      <c r="I204" s="1941">
        <f t="shared" ref="I204" si="11">SUM(I202:I203)</f>
        <v>1263</v>
      </c>
      <c r="J204" s="1941">
        <f>SUM(J202:J203)</f>
        <v>2384</v>
      </c>
      <c r="K204" s="965"/>
    </row>
    <row r="205" spans="1:11" s="6" customFormat="1" x14ac:dyDescent="0.25">
      <c r="A205" s="1916"/>
      <c r="B205" s="1916"/>
      <c r="C205" s="955"/>
      <c r="D205" s="955"/>
      <c r="E205" s="1939"/>
      <c r="F205" s="1934"/>
      <c r="G205" s="1943"/>
      <c r="H205" s="1943"/>
      <c r="I205" s="1943"/>
      <c r="J205" s="1943"/>
      <c r="K205" s="965"/>
    </row>
    <row r="206" spans="1:11" s="6" customFormat="1" x14ac:dyDescent="0.25">
      <c r="A206" s="256"/>
      <c r="B206" s="256"/>
      <c r="C206" s="955"/>
      <c r="D206" s="955"/>
      <c r="E206" s="1389"/>
      <c r="F206" s="1003"/>
      <c r="G206" s="1003"/>
      <c r="H206" s="1003"/>
      <c r="I206" s="1009"/>
      <c r="J206" s="1005"/>
      <c r="K206" s="965"/>
    </row>
    <row r="207" spans="1:11" s="1" customFormat="1" ht="16.5" customHeight="1" x14ac:dyDescent="0.25">
      <c r="A207" s="256"/>
      <c r="B207" s="256"/>
      <c r="C207" s="956" t="s">
        <v>286</v>
      </c>
      <c r="D207" s="956">
        <f>D166+0.1</f>
        <v>9.8999999999999986</v>
      </c>
      <c r="E207" s="960" t="s">
        <v>987</v>
      </c>
      <c r="F207" s="966"/>
      <c r="G207" s="955"/>
      <c r="H207" s="955"/>
      <c r="I207" s="955"/>
      <c r="J207" s="955"/>
      <c r="K207" s="955"/>
    </row>
    <row r="208" spans="1:11" s="1" customFormat="1" ht="31.5" customHeight="1" x14ac:dyDescent="0.25">
      <c r="A208" s="628">
        <v>16</v>
      </c>
      <c r="B208" s="628" t="s">
        <v>1469</v>
      </c>
      <c r="C208" s="963"/>
      <c r="D208" s="963"/>
      <c r="E208" s="2259" t="s">
        <v>1879</v>
      </c>
      <c r="F208" s="2259"/>
      <c r="G208" s="2259"/>
      <c r="H208" s="2259"/>
      <c r="I208" s="2259"/>
      <c r="J208" s="2259"/>
      <c r="K208" s="955"/>
    </row>
    <row r="209" spans="1:20" s="246" customFormat="1" ht="16.5" customHeight="1" x14ac:dyDescent="0.25">
      <c r="A209" s="704"/>
      <c r="B209" s="704"/>
      <c r="C209" s="955"/>
      <c r="D209" s="963"/>
      <c r="E209" s="2254" t="s">
        <v>1130</v>
      </c>
      <c r="F209" s="2254"/>
      <c r="G209" s="2254"/>
      <c r="H209" s="2254"/>
      <c r="I209" s="2254"/>
      <c r="J209" s="2254"/>
      <c r="K209" s="955"/>
      <c r="L209" s="528" t="s">
        <v>989</v>
      </c>
      <c r="P209" s="449"/>
      <c r="Q209" s="449"/>
      <c r="R209" s="19"/>
      <c r="S209" s="19"/>
      <c r="T209" s="19"/>
    </row>
    <row r="210" spans="1:20" s="246" customFormat="1" ht="67.5" customHeight="1" x14ac:dyDescent="0.25">
      <c r="A210" s="704"/>
      <c r="B210" s="704"/>
      <c r="C210" s="955"/>
      <c r="D210" s="963"/>
      <c r="E210" s="2254" t="s">
        <v>988</v>
      </c>
      <c r="F210" s="2254"/>
      <c r="G210" s="2254"/>
      <c r="H210" s="2254"/>
      <c r="I210" s="2254"/>
      <c r="J210" s="2254"/>
      <c r="K210" s="955"/>
      <c r="L210" s="1"/>
      <c r="N210" s="301"/>
      <c r="O210" s="301"/>
      <c r="P210" s="1"/>
      <c r="R210" s="19"/>
      <c r="S210" s="19"/>
      <c r="T210" s="19"/>
    </row>
    <row r="211" spans="1:20" s="246" customFormat="1" ht="47.25" customHeight="1" x14ac:dyDescent="0.25">
      <c r="A211" s="704"/>
      <c r="B211" s="704"/>
      <c r="C211" s="955"/>
      <c r="D211" s="963"/>
      <c r="E211" s="2254" t="s">
        <v>1658</v>
      </c>
      <c r="F211" s="2254"/>
      <c r="G211" s="2254"/>
      <c r="H211" s="2254"/>
      <c r="I211" s="2254"/>
      <c r="J211" s="2254"/>
      <c r="K211" s="955"/>
      <c r="L211" s="1"/>
      <c r="N211" s="301"/>
      <c r="O211" s="301"/>
      <c r="P211" s="1"/>
      <c r="R211" s="19"/>
      <c r="S211" s="19"/>
      <c r="T211" s="19"/>
    </row>
    <row r="212" spans="1:20" s="246" customFormat="1" ht="75.75" customHeight="1" x14ac:dyDescent="0.25">
      <c r="A212" s="704"/>
      <c r="B212" s="704"/>
      <c r="C212" s="955"/>
      <c r="D212" s="963"/>
      <c r="E212" s="2254" t="s">
        <v>1880</v>
      </c>
      <c r="F212" s="2254"/>
      <c r="G212" s="2254"/>
      <c r="H212" s="2254"/>
      <c r="I212" s="2254"/>
      <c r="J212" s="2254"/>
      <c r="K212" s="955"/>
      <c r="L212" s="1"/>
      <c r="N212" s="301"/>
      <c r="O212" s="301"/>
      <c r="P212" s="1"/>
      <c r="R212" s="19"/>
      <c r="S212" s="19"/>
      <c r="T212" s="19"/>
    </row>
    <row r="213" spans="1:20" s="246" customFormat="1" ht="96" customHeight="1" x14ac:dyDescent="0.25">
      <c r="A213" s="704"/>
      <c r="B213" s="704"/>
      <c r="C213" s="955"/>
      <c r="D213" s="963"/>
      <c r="E213" s="2254" t="s">
        <v>1881</v>
      </c>
      <c r="F213" s="2254"/>
      <c r="G213" s="2254"/>
      <c r="H213" s="2254"/>
      <c r="I213" s="2254"/>
      <c r="J213" s="2254"/>
      <c r="K213" s="955"/>
      <c r="L213" s="1"/>
      <c r="N213" s="301"/>
      <c r="O213" s="301"/>
      <c r="P213" s="1"/>
      <c r="R213" s="19"/>
      <c r="S213" s="19"/>
      <c r="T213" s="19"/>
    </row>
    <row r="214" spans="1:20" s="246" customFormat="1" ht="69.75" customHeight="1" x14ac:dyDescent="0.25">
      <c r="A214" s="704"/>
      <c r="B214" s="704"/>
      <c r="C214" s="955"/>
      <c r="D214" s="963"/>
      <c r="E214" s="2254" t="s">
        <v>1659</v>
      </c>
      <c r="F214" s="2254"/>
      <c r="G214" s="2254"/>
      <c r="H214" s="2254"/>
      <c r="I214" s="2254"/>
      <c r="J214" s="2254"/>
      <c r="K214" s="955"/>
      <c r="L214" s="1"/>
      <c r="N214" s="301"/>
      <c r="O214" s="301"/>
      <c r="P214" s="1"/>
      <c r="R214" s="19"/>
      <c r="S214" s="19"/>
      <c r="T214" s="19"/>
    </row>
    <row r="215" spans="1:20" s="1" customFormat="1" ht="6.75" customHeight="1" x14ac:dyDescent="0.25">
      <c r="A215" s="704"/>
      <c r="B215" s="704"/>
      <c r="C215" s="963"/>
      <c r="D215" s="963"/>
      <c r="E215" s="966"/>
      <c r="F215" s="966"/>
      <c r="G215" s="955"/>
      <c r="H215" s="955"/>
      <c r="I215" s="958"/>
      <c r="J215" s="958"/>
      <c r="K215" s="955"/>
    </row>
    <row r="216" spans="1:20" s="1" customFormat="1" x14ac:dyDescent="0.25">
      <c r="A216" s="704"/>
      <c r="B216" s="704"/>
      <c r="C216" s="963"/>
      <c r="D216" s="963"/>
      <c r="E216" s="966" t="s">
        <v>1662</v>
      </c>
      <c r="F216" s="966"/>
      <c r="G216" s="955"/>
      <c r="H216" s="955"/>
      <c r="I216" s="958"/>
      <c r="J216" s="958"/>
      <c r="K216" s="955"/>
    </row>
    <row r="217" spans="1:20" s="1" customFormat="1" x14ac:dyDescent="0.25">
      <c r="A217" s="628"/>
      <c r="B217" s="628"/>
      <c r="C217" s="963"/>
      <c r="D217" s="963"/>
      <c r="E217" s="966"/>
      <c r="F217" s="966"/>
      <c r="G217" s="955"/>
      <c r="H217" s="955"/>
      <c r="I217" s="958">
        <f>I117</f>
        <v>2024</v>
      </c>
      <c r="J217" s="958">
        <f>J117</f>
        <v>2023</v>
      </c>
      <c r="K217" s="955"/>
    </row>
    <row r="218" spans="1:20" s="1" customFormat="1" x14ac:dyDescent="0.25">
      <c r="A218" s="638"/>
      <c r="B218" s="638"/>
      <c r="C218" s="963"/>
      <c r="D218" s="963"/>
      <c r="E218" s="955"/>
      <c r="F218" s="966"/>
      <c r="G218" s="955"/>
      <c r="H218" s="955"/>
      <c r="I218" s="958" t="str">
        <f>I118</f>
        <v>$'000</v>
      </c>
      <c r="J218" s="958" t="str">
        <f>J118</f>
        <v>$'000</v>
      </c>
      <c r="K218" s="955"/>
    </row>
    <row r="219" spans="1:20" s="6" customFormat="1" x14ac:dyDescent="0.25">
      <c r="A219" s="633">
        <v>16</v>
      </c>
      <c r="B219" s="633">
        <v>97</v>
      </c>
      <c r="C219" s="955"/>
      <c r="D219" s="955"/>
      <c r="E219" s="1389" t="s">
        <v>1660</v>
      </c>
      <c r="F219" s="1003"/>
      <c r="G219" s="1003"/>
      <c r="H219" s="1003"/>
      <c r="I219" s="1384"/>
      <c r="J219" s="1384"/>
      <c r="K219" s="965"/>
    </row>
    <row r="220" spans="1:20" s="6" customFormat="1" x14ac:dyDescent="0.25">
      <c r="A220" s="633"/>
      <c r="B220" s="633"/>
      <c r="C220" s="955"/>
      <c r="D220" s="955"/>
      <c r="E220" s="1388" t="s">
        <v>1451</v>
      </c>
      <c r="F220" s="1003"/>
      <c r="G220" s="1003"/>
      <c r="H220" s="1003"/>
      <c r="I220" s="1391">
        <v>0</v>
      </c>
      <c r="J220" s="1391">
        <v>0</v>
      </c>
      <c r="K220" s="965"/>
    </row>
    <row r="221" spans="1:20" s="6" customFormat="1" x14ac:dyDescent="0.25">
      <c r="A221" s="633"/>
      <c r="B221" s="633"/>
      <c r="C221" s="955"/>
      <c r="D221" s="955"/>
      <c r="E221" s="1388" t="s">
        <v>1452</v>
      </c>
      <c r="F221" s="1003"/>
      <c r="G221" s="1003"/>
      <c r="H221" s="1003"/>
      <c r="I221" s="1391">
        <v>0</v>
      </c>
      <c r="J221" s="1391">
        <v>0</v>
      </c>
      <c r="K221" s="965"/>
    </row>
    <row r="222" spans="1:20" s="6" customFormat="1" x14ac:dyDescent="0.25">
      <c r="A222" s="633"/>
      <c r="B222" s="633"/>
      <c r="C222" s="955"/>
      <c r="D222" s="955"/>
      <c r="E222" s="1388" t="s">
        <v>1453</v>
      </c>
      <c r="F222" s="1003"/>
      <c r="G222" s="1003"/>
      <c r="H222" s="1003"/>
      <c r="I222" s="1391">
        <v>0</v>
      </c>
      <c r="J222" s="1391">
        <v>0</v>
      </c>
      <c r="K222" s="965"/>
    </row>
    <row r="223" spans="1:20" s="6" customFormat="1" x14ac:dyDescent="0.25">
      <c r="A223" s="633"/>
      <c r="B223" s="633"/>
      <c r="C223" s="955"/>
      <c r="D223" s="955"/>
      <c r="E223" s="1388" t="s">
        <v>1454</v>
      </c>
      <c r="F223" s="1003"/>
      <c r="G223" s="1003"/>
      <c r="H223" s="1003"/>
      <c r="I223" s="1391">
        <v>0</v>
      </c>
      <c r="J223" s="1391">
        <v>0</v>
      </c>
      <c r="K223" s="965"/>
    </row>
    <row r="224" spans="1:20" s="6" customFormat="1" x14ac:dyDescent="0.25">
      <c r="A224" s="633"/>
      <c r="B224" s="633"/>
      <c r="C224" s="955"/>
      <c r="D224" s="955"/>
      <c r="E224" s="1388" t="s">
        <v>1455</v>
      </c>
      <c r="F224" s="1003"/>
      <c r="G224" s="1003"/>
      <c r="H224" s="1003"/>
      <c r="I224" s="1391">
        <v>0</v>
      </c>
      <c r="J224" s="1391">
        <v>0</v>
      </c>
      <c r="K224" s="965"/>
    </row>
    <row r="225" spans="1:13" s="6" customFormat="1" x14ac:dyDescent="0.25">
      <c r="A225" s="633"/>
      <c r="B225" s="633"/>
      <c r="C225" s="955"/>
      <c r="D225" s="955"/>
      <c r="E225" s="1388" t="s">
        <v>1661</v>
      </c>
      <c r="F225" s="1003"/>
      <c r="G225" s="1003"/>
      <c r="H225" s="1003"/>
      <c r="I225" s="1391">
        <v>0</v>
      </c>
      <c r="J225" s="1391">
        <v>0</v>
      </c>
      <c r="K225" s="965"/>
    </row>
    <row r="226" spans="1:13" s="6" customFormat="1" x14ac:dyDescent="0.25">
      <c r="A226" s="633"/>
      <c r="B226" s="633"/>
      <c r="C226" s="955"/>
      <c r="D226" s="955"/>
      <c r="E226" s="1388" t="s">
        <v>103</v>
      </c>
      <c r="F226" s="1003"/>
      <c r="G226" s="1003"/>
      <c r="H226" s="1003"/>
      <c r="I226" s="1392">
        <v>0</v>
      </c>
      <c r="J226" s="1392">
        <v>0</v>
      </c>
      <c r="K226" s="965"/>
    </row>
    <row r="227" spans="1:13" s="6" customFormat="1" x14ac:dyDescent="0.25">
      <c r="A227" s="633"/>
      <c r="B227" s="633"/>
      <c r="C227" s="955"/>
      <c r="D227" s="955"/>
      <c r="E227" s="1389"/>
      <c r="F227" s="1003"/>
      <c r="G227" s="1003"/>
      <c r="H227" s="1003"/>
      <c r="I227" s="1384"/>
      <c r="J227" s="1384"/>
      <c r="K227" s="965"/>
    </row>
    <row r="228" spans="1:13" s="6" customFormat="1" x14ac:dyDescent="0.25">
      <c r="A228" s="633">
        <v>16</v>
      </c>
      <c r="B228" s="633">
        <v>91</v>
      </c>
      <c r="C228" s="955"/>
      <c r="D228" s="955"/>
      <c r="E228" s="1389" t="s">
        <v>1472</v>
      </c>
      <c r="F228" s="1003"/>
      <c r="G228" s="1003"/>
      <c r="H228" s="1003"/>
      <c r="I228" s="1384"/>
      <c r="J228" s="1384"/>
      <c r="K228" s="965"/>
    </row>
    <row r="229" spans="1:13" s="6" customFormat="1" x14ac:dyDescent="0.25">
      <c r="A229" s="633"/>
      <c r="B229" s="633"/>
      <c r="C229" s="955"/>
      <c r="D229" s="955"/>
      <c r="E229" s="1389"/>
      <c r="F229" s="1003"/>
      <c r="G229" s="1003"/>
      <c r="H229" s="1003"/>
      <c r="I229" s="1384"/>
      <c r="J229" s="1384"/>
      <c r="K229" s="965"/>
    </row>
    <row r="230" spans="1:13" s="6" customFormat="1" x14ac:dyDescent="0.25">
      <c r="A230" s="633">
        <v>16</v>
      </c>
      <c r="B230" s="633" t="s">
        <v>1475</v>
      </c>
      <c r="C230" s="955"/>
      <c r="D230" s="955"/>
      <c r="E230" s="1388" t="s">
        <v>1473</v>
      </c>
      <c r="F230" s="1003"/>
      <c r="G230" s="1003"/>
      <c r="H230" s="1003"/>
      <c r="I230" s="1393">
        <v>0</v>
      </c>
      <c r="J230" s="1393">
        <v>0</v>
      </c>
      <c r="K230" s="965"/>
    </row>
    <row r="231" spans="1:13" s="6" customFormat="1" x14ac:dyDescent="0.25">
      <c r="A231" s="633">
        <v>16</v>
      </c>
      <c r="B231" s="633" t="s">
        <v>1475</v>
      </c>
      <c r="C231" s="955"/>
      <c r="D231" s="955"/>
      <c r="E231" s="1388" t="s">
        <v>1474</v>
      </c>
      <c r="F231" s="1003"/>
      <c r="G231" s="1003"/>
      <c r="H231" s="1003"/>
      <c r="I231" s="1393">
        <v>0</v>
      </c>
      <c r="J231" s="1393">
        <v>0</v>
      </c>
      <c r="K231" s="965"/>
    </row>
    <row r="232" spans="1:13" s="6" customFormat="1" x14ac:dyDescent="0.25">
      <c r="A232" s="704"/>
      <c r="B232" s="704"/>
      <c r="C232" s="955"/>
      <c r="D232" s="955"/>
      <c r="E232" s="1388"/>
      <c r="F232" s="1003"/>
      <c r="G232" s="1003"/>
      <c r="H232" s="1003"/>
      <c r="I232" s="1393"/>
      <c r="J232" s="1393"/>
      <c r="K232" s="965"/>
    </row>
    <row r="233" spans="1:13" s="1" customFormat="1" x14ac:dyDescent="0.25">
      <c r="A233" s="256"/>
      <c r="B233" s="256"/>
      <c r="C233" s="955"/>
      <c r="D233" s="963"/>
      <c r="E233" s="963"/>
      <c r="F233" s="1201"/>
      <c r="G233" s="1394"/>
      <c r="H233" s="1005"/>
      <c r="I233" s="955"/>
      <c r="J233" s="955"/>
      <c r="K233" s="955"/>
    </row>
    <row r="234" spans="1:13" s="1" customFormat="1" x14ac:dyDescent="0.25">
      <c r="A234" s="256">
        <v>137</v>
      </c>
      <c r="B234" s="2222" t="s">
        <v>1200</v>
      </c>
      <c r="C234" s="989" t="s">
        <v>286</v>
      </c>
      <c r="D234" s="1395">
        <v>9.1</v>
      </c>
      <c r="E234" s="989" t="s">
        <v>551</v>
      </c>
      <c r="F234" s="955"/>
      <c r="G234" s="955"/>
      <c r="H234" s="955"/>
      <c r="I234" s="982"/>
      <c r="J234" s="982"/>
      <c r="K234" s="955"/>
    </row>
    <row r="235" spans="1:13" s="1" customFormat="1" ht="16.5" customHeight="1" x14ac:dyDescent="0.25">
      <c r="A235" s="256"/>
      <c r="B235" s="2222"/>
      <c r="C235" s="955"/>
      <c r="D235" s="956"/>
      <c r="E235" s="989" t="s">
        <v>499</v>
      </c>
      <c r="F235" s="955"/>
      <c r="G235" s="955"/>
      <c r="H235" s="955"/>
      <c r="I235" s="982"/>
      <c r="J235" s="982"/>
      <c r="K235" s="955"/>
    </row>
    <row r="236" spans="1:13" s="1" customFormat="1" ht="18" x14ac:dyDescent="0.35">
      <c r="A236" s="256"/>
      <c r="B236" s="2222" t="s">
        <v>1199</v>
      </c>
      <c r="C236" s="955"/>
      <c r="D236" s="963"/>
      <c r="E236" s="1396" t="s">
        <v>310</v>
      </c>
      <c r="F236" s="1396"/>
      <c r="G236" s="1396"/>
      <c r="H236" s="1396"/>
      <c r="I236" s="1396"/>
      <c r="J236" s="1396"/>
      <c r="K236" s="955"/>
      <c r="M236" s="89"/>
    </row>
    <row r="237" spans="1:13" s="1" customFormat="1" ht="11.25" customHeight="1" x14ac:dyDescent="0.25">
      <c r="A237" s="256"/>
      <c r="B237" s="2222"/>
      <c r="C237" s="955"/>
      <c r="D237" s="963"/>
      <c r="E237" s="1396"/>
      <c r="F237" s="1397"/>
      <c r="G237" s="1397"/>
      <c r="H237" s="955"/>
      <c r="I237" s="982"/>
      <c r="J237" s="982"/>
      <c r="K237" s="955"/>
    </row>
    <row r="238" spans="1:13" s="1" customFormat="1" ht="30.75" customHeight="1" x14ac:dyDescent="0.25">
      <c r="A238" s="256"/>
      <c r="B238" s="256"/>
      <c r="C238" s="955"/>
      <c r="D238" s="963"/>
      <c r="E238" s="2254" t="s">
        <v>349</v>
      </c>
      <c r="F238" s="2254"/>
      <c r="G238" s="2254"/>
      <c r="H238" s="2254"/>
      <c r="I238" s="2254"/>
      <c r="J238" s="2254"/>
      <c r="K238" s="955"/>
    </row>
    <row r="239" spans="1:13" s="1" customFormat="1" ht="36.75" customHeight="1" x14ac:dyDescent="0.25">
      <c r="A239" s="256"/>
      <c r="B239" s="256"/>
      <c r="C239" s="955"/>
      <c r="D239" s="963"/>
      <c r="E239" s="2254" t="s">
        <v>1882</v>
      </c>
      <c r="F239" s="2254"/>
      <c r="G239" s="2254"/>
      <c r="H239" s="2254"/>
      <c r="I239" s="2254"/>
      <c r="J239" s="2254"/>
      <c r="K239" s="955"/>
    </row>
    <row r="240" spans="1:13" s="1" customFormat="1" ht="16.5" customHeight="1" x14ac:dyDescent="0.25">
      <c r="A240" s="256"/>
      <c r="B240" s="256"/>
      <c r="C240" s="955"/>
      <c r="D240" s="963"/>
      <c r="E240" s="966"/>
      <c r="F240" s="1201"/>
      <c r="G240" s="955"/>
      <c r="H240" s="955"/>
      <c r="I240" s="982"/>
      <c r="J240" s="982"/>
      <c r="K240" s="955"/>
    </row>
    <row r="241" spans="1:11" s="1" customFormat="1" ht="16.5" customHeight="1" x14ac:dyDescent="0.25">
      <c r="A241" s="256"/>
      <c r="B241" s="256"/>
      <c r="C241" s="955"/>
      <c r="D241" s="963"/>
      <c r="E241" s="1398" t="s">
        <v>32</v>
      </c>
      <c r="F241" s="955"/>
      <c r="G241" s="955"/>
      <c r="H241" s="955"/>
      <c r="I241" s="982">
        <v>180</v>
      </c>
      <c r="J241" s="982">
        <v>180</v>
      </c>
      <c r="K241" s="955"/>
    </row>
    <row r="242" spans="1:11" s="1" customFormat="1" ht="16.5" customHeight="1" x14ac:dyDescent="0.25">
      <c r="A242" s="256"/>
      <c r="B242" s="256"/>
      <c r="C242" s="955"/>
      <c r="D242" s="963"/>
      <c r="E242" s="1399" t="s">
        <v>377</v>
      </c>
      <c r="F242" s="1399"/>
      <c r="G242" s="955"/>
      <c r="H242" s="955"/>
      <c r="I242" s="955"/>
      <c r="J242" s="955"/>
      <c r="K242" s="955"/>
    </row>
    <row r="243" spans="1:11" s="1" customFormat="1" ht="16.5" customHeight="1" x14ac:dyDescent="0.25">
      <c r="A243" s="256"/>
      <c r="B243" s="256"/>
      <c r="C243" s="955"/>
      <c r="D243" s="963"/>
      <c r="E243" s="1014"/>
      <c r="F243" s="955"/>
      <c r="G243" s="955"/>
      <c r="H243" s="955"/>
      <c r="I243" s="955"/>
      <c r="J243" s="955"/>
      <c r="K243" s="955"/>
    </row>
    <row r="244" spans="1:11" s="1" customFormat="1" ht="16.5" customHeight="1" x14ac:dyDescent="0.25">
      <c r="A244" s="256"/>
      <c r="B244" s="256"/>
      <c r="C244" s="955"/>
      <c r="D244" s="963"/>
      <c r="E244" s="1167" t="s">
        <v>474</v>
      </c>
      <c r="F244" s="955"/>
      <c r="G244" s="955"/>
      <c r="H244" s="955"/>
      <c r="I244" s="955"/>
      <c r="J244" s="955"/>
      <c r="K244" s="955"/>
    </row>
    <row r="245" spans="1:11" s="1" customFormat="1" ht="33" customHeight="1" x14ac:dyDescent="0.25">
      <c r="A245" s="256">
        <v>137</v>
      </c>
      <c r="B245" s="256">
        <v>89</v>
      </c>
      <c r="C245" s="955"/>
      <c r="D245" s="963"/>
      <c r="E245" s="1400" t="s">
        <v>1723</v>
      </c>
      <c r="F245" s="1400"/>
      <c r="G245" s="1400"/>
      <c r="H245" s="1400"/>
      <c r="I245" s="1400"/>
      <c r="J245" s="1400"/>
      <c r="K245" s="955"/>
    </row>
    <row r="246" spans="1:11" s="1" customFormat="1" ht="16.5" customHeight="1" x14ac:dyDescent="0.25">
      <c r="A246" s="256"/>
      <c r="B246" s="256"/>
      <c r="C246" s="955"/>
      <c r="D246" s="963"/>
      <c r="E246" s="963"/>
      <c r="F246" s="1201"/>
      <c r="G246" s="955"/>
      <c r="H246" s="955"/>
      <c r="I246" s="955"/>
      <c r="J246" s="955"/>
      <c r="K246" s="955"/>
    </row>
    <row r="247" spans="1:11" s="1" customFormat="1" ht="16.5" customHeight="1" x14ac:dyDescent="0.25">
      <c r="A247" s="256"/>
      <c r="B247" s="256"/>
      <c r="C247" s="955"/>
      <c r="D247" s="963"/>
      <c r="E247" s="1400" t="s">
        <v>377</v>
      </c>
      <c r="F247" s="1400"/>
      <c r="G247" s="1400"/>
      <c r="H247" s="1400"/>
      <c r="I247" s="1400"/>
      <c r="J247" s="1400"/>
      <c r="K247" s="955"/>
    </row>
    <row r="248" spans="1:11" s="246" customFormat="1" x14ac:dyDescent="0.25">
      <c r="A248" s="254"/>
      <c r="B248" s="254"/>
      <c r="C248" s="955"/>
      <c r="D248" s="963"/>
      <c r="E248" s="957"/>
      <c r="F248" s="957"/>
      <c r="G248" s="955"/>
      <c r="H248" s="955"/>
      <c r="I248" s="1005"/>
      <c r="J248" s="1005"/>
      <c r="K248" s="955"/>
    </row>
    <row r="249" spans="1:11" x14ac:dyDescent="0.25">
      <c r="A249" s="254"/>
      <c r="B249" s="254"/>
      <c r="C249" s="963"/>
      <c r="D249" s="963"/>
      <c r="E249" s="963"/>
      <c r="F249" s="963"/>
      <c r="G249" s="1201"/>
      <c r="H249" s="1201"/>
      <c r="I249" s="1165"/>
      <c r="J249" s="1165"/>
      <c r="K249" s="1224"/>
    </row>
    <row r="250" spans="1:11" ht="15" x14ac:dyDescent="0.3">
      <c r="A250" s="248" t="s">
        <v>238</v>
      </c>
      <c r="B250" s="247"/>
      <c r="C250" s="1401"/>
      <c r="D250" s="1401"/>
      <c r="E250" s="1401"/>
      <c r="F250" s="1402"/>
      <c r="G250" s="1201"/>
      <c r="H250" s="1201"/>
      <c r="I250" s="1165"/>
      <c r="J250" s="1165"/>
      <c r="K250" s="1224"/>
    </row>
    <row r="251" spans="1:11" ht="15" x14ac:dyDescent="0.3">
      <c r="A251" s="250" t="s">
        <v>237</v>
      </c>
      <c r="B251" s="251" t="s">
        <v>207</v>
      </c>
      <c r="C251" s="1403" t="s">
        <v>32</v>
      </c>
      <c r="D251" s="1401"/>
      <c r="E251" s="1401"/>
      <c r="F251" s="1404"/>
      <c r="G251" s="1201"/>
      <c r="H251" s="1201"/>
      <c r="I251" s="1165"/>
      <c r="J251" s="1165"/>
      <c r="K251" s="1224"/>
    </row>
    <row r="252" spans="1:11" ht="60" customHeight="1" x14ac:dyDescent="0.3">
      <c r="A252" s="250"/>
      <c r="B252" s="252">
        <v>86</v>
      </c>
      <c r="C252" s="2253" t="s">
        <v>498</v>
      </c>
      <c r="D252" s="2253"/>
      <c r="E252" s="2253"/>
      <c r="F252" s="2253"/>
      <c r="G252" s="1201"/>
      <c r="H252" s="1201"/>
      <c r="I252" s="1165"/>
      <c r="J252" s="1165"/>
      <c r="K252" s="1224"/>
    </row>
    <row r="253" spans="1:11" x14ac:dyDescent="0.25">
      <c r="A253" s="140"/>
      <c r="B253" s="245"/>
      <c r="C253" s="1405"/>
      <c r="D253" s="1405"/>
      <c r="E253" s="1405"/>
      <c r="F253" s="1404"/>
      <c r="G253" s="1201"/>
      <c r="H253" s="1201"/>
      <c r="I253" s="1165"/>
      <c r="J253" s="1165"/>
      <c r="K253" s="1224"/>
    </row>
    <row r="254" spans="1:11" x14ac:dyDescent="0.25">
      <c r="A254" s="254"/>
      <c r="B254" s="254"/>
      <c r="C254" s="963"/>
      <c r="D254" s="963"/>
      <c r="E254" s="963"/>
      <c r="F254" s="963"/>
      <c r="G254" s="1201"/>
      <c r="H254" s="1201"/>
      <c r="I254" s="1165"/>
      <c r="J254" s="1165"/>
      <c r="K254" s="1224"/>
    </row>
    <row r="255" spans="1:11" x14ac:dyDescent="0.25">
      <c r="A255" s="254"/>
      <c r="B255" s="254"/>
      <c r="C255" s="963"/>
      <c r="D255" s="963"/>
      <c r="E255" s="963"/>
      <c r="F255" s="963"/>
      <c r="G255" s="1201"/>
      <c r="H255" s="1201"/>
      <c r="I255" s="1165"/>
      <c r="J255" s="1165"/>
      <c r="K255" s="1224"/>
    </row>
    <row r="256" spans="1:11" x14ac:dyDescent="0.25">
      <c r="A256" s="254"/>
      <c r="B256" s="254"/>
      <c r="C256" s="1228"/>
      <c r="D256" s="1228"/>
      <c r="E256" s="1224"/>
      <c r="F256" s="1224"/>
      <c r="G256" s="1224"/>
      <c r="H256" s="1224"/>
      <c r="I256" s="1224"/>
      <c r="J256" s="1224"/>
      <c r="K256" s="1224"/>
    </row>
    <row r="257" spans="3:11" x14ac:dyDescent="0.25">
      <c r="C257" s="1224"/>
      <c r="D257" s="1224"/>
      <c r="E257" s="1224"/>
      <c r="F257" s="1224"/>
      <c r="G257" s="1224"/>
      <c r="H257" s="1224"/>
      <c r="I257" s="1224"/>
      <c r="J257" s="1224"/>
      <c r="K257" s="1224"/>
    </row>
    <row r="258" spans="3:11" x14ac:dyDescent="0.25">
      <c r="C258" s="1228"/>
      <c r="D258" s="1228"/>
      <c r="E258" s="1228"/>
      <c r="F258" s="1228"/>
      <c r="G258" s="1224"/>
      <c r="H258" s="1224"/>
      <c r="I258" s="1224"/>
      <c r="J258" s="1224"/>
      <c r="K258" s="1224"/>
    </row>
    <row r="259" spans="3:11" x14ac:dyDescent="0.25">
      <c r="C259" s="1228"/>
      <c r="D259" s="1228"/>
      <c r="E259" s="1228"/>
      <c r="F259" s="1228"/>
      <c r="G259" s="1224"/>
      <c r="H259" s="1224"/>
      <c r="I259" s="1224"/>
      <c r="J259" s="1224"/>
      <c r="K259" s="1224"/>
    </row>
    <row r="260" spans="3:11" x14ac:dyDescent="0.25">
      <c r="C260" s="1228"/>
      <c r="D260" s="1228"/>
      <c r="E260" s="1228"/>
      <c r="F260" s="1228"/>
      <c r="G260" s="1224"/>
      <c r="H260" s="1224"/>
      <c r="I260" s="1224"/>
      <c r="J260" s="1224"/>
      <c r="K260" s="1224"/>
    </row>
    <row r="261" spans="3:11" x14ac:dyDescent="0.25">
      <c r="C261" s="1228"/>
      <c r="D261" s="1228"/>
      <c r="E261" s="1228"/>
      <c r="F261" s="1228"/>
      <c r="G261" s="1224"/>
      <c r="H261" s="1224"/>
      <c r="I261" s="1224"/>
      <c r="J261" s="1224"/>
      <c r="K261" s="1224"/>
    </row>
    <row r="262" spans="3:11" x14ac:dyDescent="0.25">
      <c r="C262" s="1228"/>
      <c r="D262" s="1228"/>
      <c r="E262" s="1228"/>
      <c r="F262" s="1228"/>
      <c r="G262" s="1224"/>
      <c r="H262" s="1224"/>
      <c r="I262" s="1224"/>
      <c r="J262" s="1224"/>
      <c r="K262" s="1224"/>
    </row>
    <row r="263" spans="3:11" x14ac:dyDescent="0.25">
      <c r="C263" s="1228"/>
      <c r="D263" s="1228"/>
      <c r="E263" s="1228"/>
      <c r="F263" s="1228"/>
      <c r="G263" s="1224"/>
      <c r="H263" s="1224"/>
      <c r="I263" s="1224"/>
      <c r="J263" s="1224"/>
      <c r="K263" s="1224"/>
    </row>
    <row r="264" spans="3:11" x14ac:dyDescent="0.25">
      <c r="C264" s="1228"/>
      <c r="D264" s="1228"/>
      <c r="E264" s="1228"/>
      <c r="F264" s="1228"/>
      <c r="G264" s="1224"/>
      <c r="H264" s="1224"/>
      <c r="I264" s="1224"/>
      <c r="J264" s="1224"/>
      <c r="K264" s="1224"/>
    </row>
    <row r="265" spans="3:11" x14ac:dyDescent="0.25">
      <c r="C265" s="1228"/>
      <c r="D265" s="1228"/>
      <c r="E265" s="1228"/>
      <c r="F265" s="1228"/>
      <c r="G265" s="1224"/>
      <c r="H265" s="1224"/>
      <c r="I265" s="1224"/>
      <c r="J265" s="1224"/>
      <c r="K265" s="1224"/>
    </row>
    <row r="266" spans="3:11" x14ac:dyDescent="0.25">
      <c r="C266" s="1228"/>
      <c r="D266" s="1228"/>
      <c r="E266" s="1228"/>
      <c r="F266" s="1228"/>
      <c r="G266" s="1224"/>
      <c r="H266" s="1224"/>
      <c r="I266" s="1224"/>
      <c r="J266" s="1224"/>
      <c r="K266" s="1224"/>
    </row>
    <row r="267" spans="3:11" x14ac:dyDescent="0.25">
      <c r="C267" s="1228"/>
      <c r="D267" s="1228"/>
      <c r="E267" s="1228"/>
      <c r="F267" s="1228"/>
      <c r="G267" s="1224"/>
      <c r="H267" s="1224"/>
      <c r="I267" s="1224"/>
      <c r="J267" s="1224"/>
      <c r="K267" s="1224"/>
    </row>
    <row r="268" spans="3:11" x14ac:dyDescent="0.25">
      <c r="C268" s="1228"/>
      <c r="D268" s="1228"/>
      <c r="E268" s="1228"/>
      <c r="F268" s="1228"/>
      <c r="G268" s="1224"/>
      <c r="H268" s="1224"/>
      <c r="I268" s="1224"/>
      <c r="J268" s="1224"/>
      <c r="K268" s="1224"/>
    </row>
    <row r="269" spans="3:11" x14ac:dyDescent="0.25">
      <c r="C269" s="1228"/>
      <c r="D269" s="1228"/>
      <c r="E269" s="1228"/>
      <c r="F269" s="1228"/>
      <c r="G269" s="1224"/>
      <c r="H269" s="1224"/>
      <c r="I269" s="1224"/>
      <c r="J269" s="1224"/>
      <c r="K269" s="1224"/>
    </row>
    <row r="270" spans="3:11" x14ac:dyDescent="0.25">
      <c r="C270" s="1228"/>
      <c r="D270" s="1228"/>
      <c r="E270" s="1228"/>
      <c r="F270" s="1228"/>
      <c r="G270" s="1224"/>
      <c r="H270" s="1224"/>
      <c r="I270" s="1224"/>
      <c r="J270" s="1224"/>
      <c r="K270" s="1224"/>
    </row>
    <row r="271" spans="3:11" x14ac:dyDescent="0.25">
      <c r="C271" s="1228"/>
      <c r="D271" s="1228"/>
      <c r="E271" s="1228"/>
      <c r="F271" s="1228"/>
      <c r="G271" s="1224"/>
      <c r="H271" s="1224"/>
      <c r="I271" s="1224"/>
      <c r="J271" s="1224"/>
      <c r="K271" s="1224"/>
    </row>
    <row r="272" spans="3:11" x14ac:dyDescent="0.25">
      <c r="C272" s="1228"/>
      <c r="D272" s="1228"/>
      <c r="E272" s="1228"/>
      <c r="F272" s="1228"/>
      <c r="G272" s="1224"/>
      <c r="H272" s="1224"/>
      <c r="I272" s="1224"/>
      <c r="J272" s="1224"/>
      <c r="K272" s="1224"/>
    </row>
    <row r="273" spans="3:11" x14ac:dyDescent="0.25">
      <c r="C273" s="1228"/>
      <c r="D273" s="1228"/>
      <c r="E273" s="1228"/>
      <c r="F273" s="1228"/>
      <c r="G273" s="1224"/>
      <c r="H273" s="1224"/>
      <c r="I273" s="1224"/>
      <c r="J273" s="1224"/>
      <c r="K273" s="1224"/>
    </row>
    <row r="274" spans="3:11" x14ac:dyDescent="0.25">
      <c r="C274" s="1228"/>
      <c r="D274" s="1228"/>
      <c r="E274" s="1228"/>
      <c r="F274" s="1228"/>
      <c r="G274" s="1224"/>
      <c r="H274" s="1224"/>
      <c r="I274" s="1224"/>
      <c r="J274" s="1224"/>
      <c r="K274" s="1224"/>
    </row>
    <row r="275" spans="3:11" x14ac:dyDescent="0.25">
      <c r="C275" s="1228"/>
      <c r="D275" s="1228"/>
      <c r="E275" s="1228"/>
      <c r="F275" s="1228"/>
      <c r="G275" s="1224"/>
      <c r="H275" s="1224"/>
      <c r="I275" s="1224"/>
      <c r="J275" s="1224"/>
      <c r="K275" s="1224"/>
    </row>
    <row r="276" spans="3:11" x14ac:dyDescent="0.25">
      <c r="C276" s="1228"/>
      <c r="D276" s="1228"/>
      <c r="E276" s="1228"/>
      <c r="F276" s="1228"/>
      <c r="G276" s="1224"/>
      <c r="H276" s="1224"/>
      <c r="I276" s="1224"/>
      <c r="J276" s="1224"/>
      <c r="K276" s="1224"/>
    </row>
    <row r="277" spans="3:11" x14ac:dyDescent="0.25">
      <c r="C277" s="1228"/>
      <c r="D277" s="1228"/>
      <c r="E277" s="1228"/>
      <c r="F277" s="1228"/>
      <c r="G277" s="1224"/>
      <c r="H277" s="1224"/>
      <c r="I277" s="1224"/>
      <c r="J277" s="1224"/>
      <c r="K277" s="1224"/>
    </row>
    <row r="278" spans="3:11" x14ac:dyDescent="0.25">
      <c r="C278" s="1228"/>
      <c r="D278" s="1228"/>
      <c r="E278" s="1228"/>
      <c r="F278" s="1228"/>
      <c r="G278" s="1224"/>
      <c r="H278" s="1224"/>
      <c r="I278" s="1224"/>
      <c r="J278" s="1224"/>
      <c r="K278" s="1224"/>
    </row>
    <row r="279" spans="3:11" x14ac:dyDescent="0.25">
      <c r="C279" s="1228"/>
      <c r="D279" s="1228"/>
      <c r="E279" s="1228"/>
      <c r="F279" s="1228"/>
      <c r="G279" s="1224"/>
      <c r="H279" s="1224"/>
      <c r="I279" s="1224"/>
      <c r="J279" s="1224"/>
      <c r="K279" s="1224"/>
    </row>
    <row r="280" spans="3:11" x14ac:dyDescent="0.25">
      <c r="C280" s="1228"/>
      <c r="D280" s="1228"/>
      <c r="E280" s="1228"/>
      <c r="F280" s="1228"/>
      <c r="G280" s="1224"/>
      <c r="H280" s="1224"/>
      <c r="I280" s="1224"/>
      <c r="J280" s="1224"/>
      <c r="K280" s="1224"/>
    </row>
    <row r="281" spans="3:11" x14ac:dyDescent="0.25">
      <c r="C281" s="1228"/>
      <c r="D281" s="1228"/>
      <c r="E281" s="1228"/>
      <c r="F281" s="1228"/>
      <c r="G281" s="1224"/>
      <c r="H281" s="1224"/>
      <c r="I281" s="1224"/>
      <c r="J281" s="1224"/>
      <c r="K281" s="1224"/>
    </row>
    <row r="282" spans="3:11" x14ac:dyDescent="0.25">
      <c r="C282" s="1228"/>
      <c r="D282" s="1228"/>
      <c r="E282" s="1228"/>
      <c r="F282" s="1228"/>
      <c r="G282" s="1224"/>
      <c r="H282" s="1224"/>
      <c r="I282" s="1224"/>
      <c r="J282" s="1224"/>
      <c r="K282" s="1224"/>
    </row>
    <row r="283" spans="3:11" x14ac:dyDescent="0.25">
      <c r="C283" s="1228"/>
      <c r="D283" s="1228"/>
      <c r="E283" s="1228"/>
      <c r="F283" s="1228"/>
      <c r="G283" s="1224"/>
      <c r="H283" s="1224"/>
      <c r="I283" s="1224"/>
      <c r="J283" s="1224"/>
      <c r="K283" s="1224"/>
    </row>
    <row r="284" spans="3:11" x14ac:dyDescent="0.25">
      <c r="C284" s="1228"/>
      <c r="D284" s="1228"/>
      <c r="E284" s="1228"/>
      <c r="F284" s="1228"/>
      <c r="G284" s="1224"/>
      <c r="H284" s="1224"/>
      <c r="I284" s="1224"/>
      <c r="J284" s="1224"/>
      <c r="K284" s="1224"/>
    </row>
    <row r="285" spans="3:11" x14ac:dyDescent="0.25">
      <c r="C285" s="1228"/>
      <c r="D285" s="1228"/>
      <c r="E285" s="1228"/>
      <c r="F285" s="1228"/>
      <c r="G285" s="1224"/>
      <c r="H285" s="1224"/>
      <c r="I285" s="1224"/>
      <c r="J285" s="1224"/>
      <c r="K285" s="1224"/>
    </row>
    <row r="286" spans="3:11" x14ac:dyDescent="0.25">
      <c r="C286" s="1228"/>
      <c r="D286" s="1228"/>
      <c r="E286" s="1228"/>
      <c r="F286" s="1228"/>
      <c r="G286" s="1224"/>
      <c r="H286" s="1224"/>
      <c r="I286" s="1224"/>
      <c r="J286" s="1224"/>
      <c r="K286" s="1224"/>
    </row>
    <row r="287" spans="3:11" x14ac:dyDescent="0.25">
      <c r="C287" s="1228"/>
      <c r="D287" s="1228"/>
      <c r="E287" s="1228"/>
      <c r="F287" s="1228"/>
      <c r="G287" s="1224"/>
      <c r="H287" s="1224"/>
      <c r="I287" s="1224"/>
      <c r="J287" s="1224"/>
      <c r="K287" s="1224"/>
    </row>
    <row r="288" spans="3:11" x14ac:dyDescent="0.25">
      <c r="C288" s="1228"/>
      <c r="D288" s="1228"/>
      <c r="E288" s="1228"/>
      <c r="F288" s="1228"/>
      <c r="G288" s="1224"/>
      <c r="H288" s="1224"/>
      <c r="I288" s="1224"/>
      <c r="J288" s="1224"/>
      <c r="K288" s="1224"/>
    </row>
    <row r="289" spans="3:11" x14ac:dyDescent="0.25">
      <c r="C289" s="1228"/>
      <c r="D289" s="1228"/>
      <c r="E289" s="1228"/>
      <c r="F289" s="1228"/>
      <c r="G289" s="1224"/>
      <c r="H289" s="1224"/>
      <c r="I289" s="1224"/>
      <c r="J289" s="1224"/>
      <c r="K289" s="1224"/>
    </row>
    <row r="290" spans="3:11" x14ac:dyDescent="0.25">
      <c r="C290" s="1228"/>
      <c r="D290" s="1228"/>
      <c r="E290" s="1228"/>
      <c r="F290" s="1228"/>
      <c r="G290" s="1224"/>
      <c r="H290" s="1224"/>
      <c r="I290" s="1224"/>
      <c r="J290" s="1224"/>
      <c r="K290" s="1224"/>
    </row>
    <row r="291" spans="3:11" x14ac:dyDescent="0.25">
      <c r="C291" s="1228"/>
      <c r="D291" s="1228"/>
      <c r="E291" s="1228"/>
      <c r="F291" s="1228"/>
      <c r="G291" s="1224"/>
      <c r="H291" s="1224"/>
      <c r="I291" s="1224"/>
      <c r="J291" s="1224"/>
      <c r="K291" s="1224"/>
    </row>
    <row r="292" spans="3:11" x14ac:dyDescent="0.25">
      <c r="C292" s="1228"/>
      <c r="D292" s="1228"/>
      <c r="E292" s="1228"/>
      <c r="F292" s="1228"/>
      <c r="G292" s="1224"/>
      <c r="H292" s="1224"/>
      <c r="I292" s="1224"/>
      <c r="J292" s="1224"/>
      <c r="K292" s="1224"/>
    </row>
    <row r="293" spans="3:11" x14ac:dyDescent="0.25">
      <c r="C293" s="1228"/>
      <c r="D293" s="1228"/>
      <c r="E293" s="1228"/>
      <c r="F293" s="1228"/>
      <c r="G293" s="1224"/>
      <c r="H293" s="1224"/>
      <c r="I293" s="1224"/>
      <c r="J293" s="1224"/>
      <c r="K293" s="1224"/>
    </row>
    <row r="294" spans="3:11" x14ac:dyDescent="0.25">
      <c r="C294" s="1228"/>
      <c r="D294" s="1228"/>
      <c r="E294" s="1228"/>
      <c r="F294" s="1228"/>
      <c r="G294" s="1224"/>
      <c r="H294" s="1224"/>
      <c r="I294" s="1224"/>
      <c r="J294" s="1224"/>
      <c r="K294" s="1224"/>
    </row>
    <row r="295" spans="3:11" x14ac:dyDescent="0.25">
      <c r="C295" s="1228"/>
      <c r="D295" s="1228"/>
      <c r="E295" s="1228"/>
      <c r="F295" s="1228"/>
      <c r="G295" s="1224"/>
      <c r="H295" s="1224"/>
      <c r="I295" s="1224"/>
      <c r="J295" s="1224"/>
      <c r="K295" s="1224"/>
    </row>
    <row r="296" spans="3:11" x14ac:dyDescent="0.25">
      <c r="C296" s="1228"/>
      <c r="D296" s="1228"/>
      <c r="E296" s="1228"/>
      <c r="F296" s="1228"/>
      <c r="G296" s="1224"/>
      <c r="H296" s="1224"/>
      <c r="I296" s="1224"/>
      <c r="J296" s="1224"/>
      <c r="K296" s="1224"/>
    </row>
    <row r="297" spans="3:11" x14ac:dyDescent="0.25">
      <c r="C297" s="1228"/>
      <c r="D297" s="1228"/>
      <c r="E297" s="1228"/>
      <c r="F297" s="1228"/>
      <c r="G297" s="1224"/>
      <c r="H297" s="1224"/>
      <c r="I297" s="1224"/>
      <c r="J297" s="1224"/>
      <c r="K297" s="1224"/>
    </row>
    <row r="298" spans="3:11" x14ac:dyDescent="0.25">
      <c r="C298" s="1228"/>
      <c r="D298" s="1228"/>
      <c r="E298" s="1228"/>
      <c r="F298" s="1228"/>
      <c r="G298" s="1224"/>
      <c r="H298" s="1224"/>
      <c r="I298" s="1224"/>
      <c r="J298" s="1224"/>
      <c r="K298" s="1224"/>
    </row>
    <row r="299" spans="3:11" x14ac:dyDescent="0.25">
      <c r="C299" s="1228"/>
      <c r="D299" s="1228"/>
      <c r="E299" s="1228"/>
      <c r="F299" s="1228"/>
      <c r="G299" s="1224"/>
      <c r="H299" s="1224"/>
      <c r="I299" s="1224"/>
      <c r="J299" s="1224"/>
      <c r="K299" s="1224"/>
    </row>
    <row r="300" spans="3:11" x14ac:dyDescent="0.25">
      <c r="C300" s="1228"/>
      <c r="D300" s="1228"/>
      <c r="E300" s="1228"/>
      <c r="F300" s="1228"/>
      <c r="G300" s="1224"/>
      <c r="H300" s="1224"/>
      <c r="I300" s="1224"/>
      <c r="J300" s="1224"/>
      <c r="K300" s="1224"/>
    </row>
    <row r="301" spans="3:11" x14ac:dyDescent="0.25">
      <c r="C301" s="1228"/>
      <c r="D301" s="1228"/>
      <c r="E301" s="1228"/>
      <c r="F301" s="1228"/>
      <c r="G301" s="1224"/>
      <c r="H301" s="1224"/>
      <c r="I301" s="1224"/>
      <c r="J301" s="1224"/>
      <c r="K301" s="1224"/>
    </row>
    <row r="302" spans="3:11" x14ac:dyDescent="0.25">
      <c r="C302" s="1228"/>
      <c r="D302" s="1228"/>
      <c r="E302" s="1228"/>
      <c r="F302" s="1228"/>
      <c r="G302" s="1224"/>
      <c r="H302" s="1224"/>
      <c r="I302" s="1224"/>
      <c r="J302" s="1224"/>
      <c r="K302" s="1224"/>
    </row>
    <row r="303" spans="3:11" x14ac:dyDescent="0.25">
      <c r="C303" s="1228"/>
      <c r="D303" s="1228"/>
      <c r="E303" s="1228"/>
      <c r="F303" s="1228"/>
      <c r="G303" s="1224"/>
      <c r="H303" s="1224"/>
      <c r="I303" s="1224"/>
      <c r="J303" s="1224"/>
      <c r="K303" s="1224"/>
    </row>
    <row r="304" spans="3:11" x14ac:dyDescent="0.25">
      <c r="C304" s="1228"/>
      <c r="D304" s="1228"/>
      <c r="E304" s="1228"/>
      <c r="F304" s="1228"/>
      <c r="G304" s="1224"/>
      <c r="H304" s="1224"/>
      <c r="I304" s="1224"/>
      <c r="J304" s="1224"/>
      <c r="K304" s="1224"/>
    </row>
    <row r="305" spans="3:11" x14ac:dyDescent="0.25">
      <c r="C305" s="1228"/>
      <c r="D305" s="1228"/>
      <c r="E305" s="1228"/>
      <c r="F305" s="1228"/>
      <c r="G305" s="1224"/>
      <c r="H305" s="1224"/>
      <c r="I305" s="1224"/>
      <c r="J305" s="1224"/>
      <c r="K305" s="1224"/>
    </row>
    <row r="306" spans="3:11" x14ac:dyDescent="0.25">
      <c r="C306" s="1228"/>
      <c r="D306" s="1228"/>
      <c r="E306" s="1228"/>
      <c r="F306" s="1228"/>
      <c r="G306" s="1224"/>
      <c r="H306" s="1224"/>
      <c r="I306" s="1224"/>
      <c r="J306" s="1224"/>
      <c r="K306" s="1224"/>
    </row>
    <row r="307" spans="3:11" x14ac:dyDescent="0.25">
      <c r="C307" s="1228"/>
      <c r="D307" s="1228"/>
      <c r="E307" s="1228"/>
      <c r="F307" s="1228"/>
      <c r="G307" s="1224"/>
      <c r="H307" s="1224"/>
      <c r="I307" s="1224"/>
      <c r="J307" s="1224"/>
      <c r="K307" s="1224"/>
    </row>
    <row r="308" spans="3:11" x14ac:dyDescent="0.25">
      <c r="C308" s="1228"/>
      <c r="D308" s="1228"/>
      <c r="E308" s="1228"/>
      <c r="F308" s="1228"/>
      <c r="G308" s="1224"/>
      <c r="H308" s="1224"/>
      <c r="I308" s="1224"/>
      <c r="J308" s="1224"/>
      <c r="K308" s="1224"/>
    </row>
    <row r="309" spans="3:11" x14ac:dyDescent="0.25">
      <c r="C309" s="1228"/>
      <c r="D309" s="1228"/>
      <c r="E309" s="1228"/>
      <c r="F309" s="1228"/>
      <c r="G309" s="1224"/>
      <c r="H309" s="1224"/>
      <c r="I309" s="1224"/>
      <c r="J309" s="1224"/>
      <c r="K309" s="1224"/>
    </row>
    <row r="310" spans="3:11" x14ac:dyDescent="0.25">
      <c r="C310" s="1228"/>
      <c r="D310" s="1228"/>
      <c r="E310" s="1228"/>
      <c r="F310" s="1228"/>
      <c r="G310" s="1224"/>
      <c r="H310" s="1224"/>
      <c r="I310" s="1224"/>
      <c r="J310" s="1224"/>
      <c r="K310" s="1224"/>
    </row>
    <row r="311" spans="3:11" x14ac:dyDescent="0.25">
      <c r="C311" s="1228"/>
      <c r="D311" s="1228"/>
      <c r="E311" s="1228"/>
      <c r="F311" s="1228"/>
      <c r="G311" s="1224"/>
      <c r="H311" s="1224"/>
      <c r="I311" s="1224"/>
      <c r="J311" s="1224"/>
      <c r="K311" s="1224"/>
    </row>
    <row r="312" spans="3:11" x14ac:dyDescent="0.25">
      <c r="C312" s="1228"/>
      <c r="D312" s="1228"/>
      <c r="E312" s="1228"/>
      <c r="F312" s="1228"/>
      <c r="G312" s="1224"/>
      <c r="H312" s="1224"/>
      <c r="I312" s="1224"/>
      <c r="J312" s="1224"/>
      <c r="K312" s="1224"/>
    </row>
    <row r="313" spans="3:11" x14ac:dyDescent="0.25">
      <c r="C313" s="1228"/>
      <c r="D313" s="1228"/>
      <c r="E313" s="1228"/>
      <c r="F313" s="1228"/>
      <c r="G313" s="1224"/>
      <c r="H313" s="1224"/>
      <c r="I313" s="1224"/>
      <c r="J313" s="1224"/>
      <c r="K313" s="1224"/>
    </row>
    <row r="314" spans="3:11" x14ac:dyDescent="0.25">
      <c r="C314" s="1228"/>
      <c r="D314" s="1228"/>
      <c r="E314" s="1228"/>
      <c r="F314" s="1228"/>
      <c r="G314" s="1224"/>
      <c r="H314" s="1224"/>
      <c r="I314" s="1224"/>
      <c r="J314" s="1224"/>
      <c r="K314" s="1224"/>
    </row>
    <row r="315" spans="3:11" x14ac:dyDescent="0.25">
      <c r="C315" s="1228"/>
      <c r="D315" s="1228"/>
      <c r="E315" s="1228"/>
      <c r="F315" s="1228"/>
      <c r="G315" s="1224"/>
      <c r="H315" s="1224"/>
      <c r="I315" s="1224"/>
      <c r="J315" s="1224"/>
      <c r="K315" s="1224"/>
    </row>
    <row r="316" spans="3:11" x14ac:dyDescent="0.25">
      <c r="C316" s="1228"/>
      <c r="D316" s="1228"/>
      <c r="E316" s="1228"/>
      <c r="F316" s="1228"/>
      <c r="G316" s="1224"/>
      <c r="H316" s="1224"/>
      <c r="I316" s="1224"/>
      <c r="J316" s="1224"/>
      <c r="K316" s="1224"/>
    </row>
    <row r="317" spans="3:11" x14ac:dyDescent="0.25">
      <c r="C317" s="1228"/>
      <c r="D317" s="1228"/>
      <c r="E317" s="1228"/>
      <c r="F317" s="1228"/>
      <c r="G317" s="1224"/>
      <c r="H317" s="1224"/>
      <c r="I317" s="1224"/>
      <c r="J317" s="1224"/>
      <c r="K317" s="1224"/>
    </row>
    <row r="318" spans="3:11" x14ac:dyDescent="0.25">
      <c r="C318" s="1228"/>
      <c r="D318" s="1228"/>
      <c r="E318" s="1228"/>
      <c r="F318" s="1228"/>
      <c r="G318" s="1224"/>
      <c r="H318" s="1224"/>
      <c r="I318" s="1224"/>
      <c r="J318" s="1224"/>
      <c r="K318" s="1224"/>
    </row>
    <row r="319" spans="3:11" x14ac:dyDescent="0.25">
      <c r="C319" s="1228"/>
      <c r="D319" s="1228"/>
      <c r="E319" s="1228"/>
      <c r="F319" s="1228"/>
      <c r="G319" s="1224"/>
      <c r="H319" s="1224"/>
      <c r="I319" s="1224"/>
      <c r="J319" s="1224"/>
      <c r="K319" s="1224"/>
    </row>
    <row r="320" spans="3:11" x14ac:dyDescent="0.25">
      <c r="C320" s="1228"/>
      <c r="D320" s="1228"/>
      <c r="E320" s="1228"/>
      <c r="F320" s="1228"/>
      <c r="G320" s="1224"/>
      <c r="H320" s="1224"/>
      <c r="I320" s="1224"/>
      <c r="J320" s="1224"/>
      <c r="K320" s="1224"/>
    </row>
    <row r="321" spans="3:11" x14ac:dyDescent="0.25">
      <c r="C321" s="1228"/>
      <c r="D321" s="1228"/>
      <c r="E321" s="1228"/>
      <c r="F321" s="1228"/>
      <c r="G321" s="1224"/>
      <c r="H321" s="1224"/>
      <c r="I321" s="1224"/>
      <c r="J321" s="1224"/>
      <c r="K321" s="1224"/>
    </row>
    <row r="322" spans="3:11" x14ac:dyDescent="0.25">
      <c r="C322" s="1228"/>
      <c r="D322" s="1228"/>
      <c r="E322" s="1228"/>
      <c r="F322" s="1228"/>
      <c r="G322" s="1224"/>
      <c r="H322" s="1224"/>
      <c r="I322" s="1224"/>
      <c r="J322" s="1224"/>
      <c r="K322" s="1224"/>
    </row>
    <row r="323" spans="3:11" x14ac:dyDescent="0.25">
      <c r="C323" s="1228"/>
      <c r="D323" s="1228"/>
      <c r="E323" s="1228"/>
      <c r="F323" s="1228"/>
      <c r="G323" s="1224"/>
      <c r="H323" s="1224"/>
      <c r="I323" s="1224"/>
      <c r="J323" s="1224"/>
      <c r="K323" s="1224"/>
    </row>
    <row r="324" spans="3:11" x14ac:dyDescent="0.25">
      <c r="C324" s="1228"/>
      <c r="D324" s="1228"/>
      <c r="E324" s="1228"/>
      <c r="F324" s="1228"/>
      <c r="G324" s="1224"/>
      <c r="H324" s="1224"/>
      <c r="I324" s="1224"/>
      <c r="J324" s="1224"/>
      <c r="K324" s="1224"/>
    </row>
    <row r="325" spans="3:11" x14ac:dyDescent="0.25">
      <c r="C325" s="1228"/>
      <c r="D325" s="1228"/>
      <c r="E325" s="1228"/>
      <c r="F325" s="1228"/>
      <c r="G325" s="1224"/>
      <c r="H325" s="1224"/>
      <c r="I325" s="1224"/>
      <c r="J325" s="1224"/>
      <c r="K325" s="1224"/>
    </row>
    <row r="326" spans="3:11" x14ac:dyDescent="0.25">
      <c r="C326" s="1228"/>
      <c r="D326" s="1228"/>
      <c r="E326" s="1228"/>
      <c r="F326" s="1228"/>
      <c r="G326" s="1224"/>
      <c r="H326" s="1224"/>
      <c r="I326" s="1224"/>
      <c r="J326" s="1224"/>
      <c r="K326" s="1224"/>
    </row>
    <row r="327" spans="3:11" x14ac:dyDescent="0.25">
      <c r="C327" s="1228"/>
      <c r="D327" s="1228"/>
      <c r="E327" s="1228"/>
      <c r="F327" s="1228"/>
      <c r="G327" s="1224"/>
      <c r="H327" s="1224"/>
      <c r="I327" s="1224"/>
      <c r="J327" s="1224"/>
      <c r="K327" s="1224"/>
    </row>
    <row r="328" spans="3:11" x14ac:dyDescent="0.25">
      <c r="C328" s="1228"/>
      <c r="D328" s="1228"/>
      <c r="E328" s="1228"/>
      <c r="F328" s="1228"/>
      <c r="G328" s="1224"/>
      <c r="H328" s="1224"/>
      <c r="I328" s="1224"/>
      <c r="J328" s="1224"/>
      <c r="K328" s="1224"/>
    </row>
    <row r="329" spans="3:11" x14ac:dyDescent="0.25">
      <c r="C329" s="1228"/>
      <c r="D329" s="1228"/>
      <c r="E329" s="1228"/>
      <c r="F329" s="1228"/>
      <c r="G329" s="1224"/>
      <c r="H329" s="1224"/>
      <c r="I329" s="1224"/>
      <c r="J329" s="1224"/>
      <c r="K329" s="1224"/>
    </row>
    <row r="330" spans="3:11" x14ac:dyDescent="0.25">
      <c r="C330" s="1228"/>
      <c r="D330" s="1228"/>
      <c r="E330" s="1228"/>
      <c r="F330" s="1228"/>
      <c r="G330" s="1224"/>
      <c r="H330" s="1224"/>
      <c r="I330" s="1224"/>
      <c r="J330" s="1224"/>
      <c r="K330" s="1224"/>
    </row>
    <row r="331" spans="3:11" x14ac:dyDescent="0.25">
      <c r="C331" s="1228"/>
      <c r="D331" s="1228"/>
      <c r="E331" s="1228"/>
      <c r="F331" s="1228"/>
      <c r="G331" s="1224"/>
      <c r="H331" s="1224"/>
      <c r="I331" s="1224"/>
      <c r="J331" s="1224"/>
      <c r="K331" s="1224"/>
    </row>
    <row r="332" spans="3:11" x14ac:dyDescent="0.25">
      <c r="C332" s="1228"/>
      <c r="D332" s="1228"/>
      <c r="E332" s="1228"/>
      <c r="F332" s="1228"/>
      <c r="G332" s="1224"/>
      <c r="H332" s="1224"/>
      <c r="I332" s="1224"/>
      <c r="J332" s="1224"/>
      <c r="K332" s="1224"/>
    </row>
    <row r="333" spans="3:11" x14ac:dyDescent="0.25">
      <c r="C333" s="1228"/>
      <c r="D333" s="1228"/>
      <c r="E333" s="1228"/>
      <c r="F333" s="1228"/>
      <c r="G333" s="1224"/>
      <c r="H333" s="1224"/>
      <c r="I333" s="1224"/>
      <c r="J333" s="1224"/>
      <c r="K333" s="1224"/>
    </row>
    <row r="334" spans="3:11" x14ac:dyDescent="0.25">
      <c r="C334" s="1228"/>
      <c r="D334" s="1228"/>
      <c r="E334" s="1228"/>
      <c r="F334" s="1228"/>
      <c r="G334" s="1224"/>
      <c r="H334" s="1224"/>
      <c r="I334" s="1224"/>
      <c r="J334" s="1224"/>
      <c r="K334" s="1224"/>
    </row>
    <row r="335" spans="3:11" x14ac:dyDescent="0.25">
      <c r="C335" s="1228"/>
      <c r="D335" s="1228"/>
      <c r="E335" s="1228"/>
      <c r="F335" s="1228"/>
      <c r="G335" s="1224"/>
      <c r="H335" s="1224"/>
      <c r="I335" s="1224"/>
      <c r="J335" s="1224"/>
      <c r="K335" s="1224"/>
    </row>
    <row r="336" spans="3:11" x14ac:dyDescent="0.25">
      <c r="C336" s="1228"/>
      <c r="D336" s="1228"/>
      <c r="E336" s="1228"/>
      <c r="F336" s="1228"/>
      <c r="G336" s="1224"/>
      <c r="H336" s="1224"/>
      <c r="I336" s="1224"/>
      <c r="J336" s="1224"/>
      <c r="K336" s="1224"/>
    </row>
    <row r="337" spans="3:11" x14ac:dyDescent="0.25">
      <c r="C337" s="1228"/>
      <c r="D337" s="1228"/>
      <c r="E337" s="1228"/>
      <c r="F337" s="1228"/>
      <c r="G337" s="1224"/>
      <c r="H337" s="1224"/>
      <c r="I337" s="1224"/>
      <c r="J337" s="1224"/>
      <c r="K337" s="1224"/>
    </row>
    <row r="338" spans="3:11" x14ac:dyDescent="0.25">
      <c r="C338" s="1228"/>
      <c r="D338" s="1228"/>
      <c r="E338" s="1228"/>
      <c r="F338" s="1228"/>
      <c r="G338" s="1224"/>
      <c r="H338" s="1224"/>
      <c r="I338" s="1224"/>
      <c r="J338" s="1224"/>
      <c r="K338" s="1224"/>
    </row>
    <row r="339" spans="3:11" x14ac:dyDescent="0.25">
      <c r="C339" s="1228"/>
      <c r="D339" s="1228"/>
      <c r="E339" s="1228"/>
      <c r="F339" s="1228"/>
      <c r="G339" s="1224"/>
      <c r="H339" s="1224"/>
      <c r="I339" s="1224"/>
      <c r="J339" s="1224"/>
      <c r="K339" s="1224"/>
    </row>
    <row r="340" spans="3:11" x14ac:dyDescent="0.25">
      <c r="C340" s="1228"/>
      <c r="D340" s="1228"/>
      <c r="E340" s="1228"/>
      <c r="F340" s="1228"/>
      <c r="G340" s="1224"/>
      <c r="H340" s="1224"/>
      <c r="I340" s="1224"/>
      <c r="J340" s="1224"/>
      <c r="K340" s="1224"/>
    </row>
    <row r="341" spans="3:11" x14ac:dyDescent="0.25">
      <c r="C341" s="1228"/>
      <c r="D341" s="1228"/>
      <c r="E341" s="1228"/>
      <c r="F341" s="1228"/>
      <c r="G341" s="1224"/>
      <c r="H341" s="1224"/>
      <c r="I341" s="1224"/>
      <c r="J341" s="1224"/>
      <c r="K341" s="1224"/>
    </row>
    <row r="342" spans="3:11" x14ac:dyDescent="0.25">
      <c r="C342" s="1228"/>
      <c r="D342" s="1228"/>
      <c r="E342" s="1228"/>
      <c r="F342" s="1228"/>
      <c r="G342" s="1224"/>
      <c r="H342" s="1224"/>
      <c r="I342" s="1224"/>
      <c r="J342" s="1224"/>
      <c r="K342" s="1224"/>
    </row>
    <row r="343" spans="3:11" x14ac:dyDescent="0.25">
      <c r="C343" s="1228"/>
      <c r="D343" s="1228"/>
      <c r="E343" s="1228"/>
      <c r="F343" s="1228"/>
      <c r="G343" s="1224"/>
      <c r="H343" s="1224"/>
      <c r="I343" s="1224"/>
      <c r="J343" s="1224"/>
      <c r="K343" s="1224"/>
    </row>
    <row r="344" spans="3:11" x14ac:dyDescent="0.25">
      <c r="C344" s="1228"/>
      <c r="D344" s="1228"/>
      <c r="E344" s="1228"/>
      <c r="F344" s="1228"/>
      <c r="G344" s="1224"/>
      <c r="H344" s="1224"/>
      <c r="I344" s="1224"/>
      <c r="J344" s="1224"/>
      <c r="K344" s="1224"/>
    </row>
    <row r="345" spans="3:11" x14ac:dyDescent="0.25">
      <c r="C345" s="1228"/>
      <c r="D345" s="1228"/>
      <c r="E345" s="1228"/>
      <c r="F345" s="1228"/>
      <c r="G345" s="1224"/>
      <c r="H345" s="1224"/>
      <c r="I345" s="1224"/>
      <c r="J345" s="1224"/>
      <c r="K345" s="1224"/>
    </row>
    <row r="346" spans="3:11" x14ac:dyDescent="0.25">
      <c r="C346" s="1228"/>
      <c r="D346" s="1228"/>
      <c r="E346" s="1228"/>
      <c r="F346" s="1228"/>
      <c r="G346" s="1224"/>
      <c r="H346" s="1224"/>
      <c r="I346" s="1224"/>
      <c r="J346" s="1224"/>
      <c r="K346" s="1224"/>
    </row>
    <row r="347" spans="3:11" x14ac:dyDescent="0.25">
      <c r="C347" s="1228"/>
      <c r="D347" s="1228"/>
      <c r="E347" s="1228"/>
      <c r="F347" s="1228"/>
      <c r="G347" s="1224"/>
      <c r="H347" s="1224"/>
      <c r="I347" s="1224"/>
      <c r="J347" s="1224"/>
      <c r="K347" s="1224"/>
    </row>
    <row r="348" spans="3:11" x14ac:dyDescent="0.25">
      <c r="C348" s="1228"/>
      <c r="D348" s="1228"/>
      <c r="E348" s="1228"/>
      <c r="F348" s="1228"/>
      <c r="G348" s="1224"/>
      <c r="H348" s="1224"/>
      <c r="I348" s="1224"/>
      <c r="J348" s="1224"/>
      <c r="K348" s="1224"/>
    </row>
    <row r="349" spans="3:11" x14ac:dyDescent="0.25">
      <c r="C349" s="1228"/>
      <c r="D349" s="1228"/>
      <c r="E349" s="1228"/>
      <c r="F349" s="1228"/>
      <c r="G349" s="1224"/>
      <c r="H349" s="1224"/>
      <c r="I349" s="1224"/>
      <c r="J349" s="1224"/>
      <c r="K349" s="1224"/>
    </row>
    <row r="350" spans="3:11" x14ac:dyDescent="0.25">
      <c r="C350" s="1228"/>
      <c r="D350" s="1228"/>
      <c r="E350" s="1228"/>
      <c r="F350" s="1228"/>
      <c r="G350" s="1224"/>
      <c r="H350" s="1224"/>
      <c r="I350" s="1224"/>
      <c r="J350" s="1224"/>
      <c r="K350" s="1224"/>
    </row>
    <row r="351" spans="3:11" x14ac:dyDescent="0.25">
      <c r="C351" s="1228"/>
      <c r="D351" s="1228"/>
      <c r="E351" s="1228"/>
      <c r="F351" s="1228"/>
      <c r="G351" s="1224"/>
      <c r="H351" s="1224"/>
      <c r="I351" s="1224"/>
      <c r="J351" s="1224"/>
      <c r="K351" s="1224"/>
    </row>
    <row r="352" spans="3:11" x14ac:dyDescent="0.25">
      <c r="C352" s="1228"/>
      <c r="D352" s="1228"/>
      <c r="E352" s="1228"/>
      <c r="F352" s="1228"/>
      <c r="G352" s="1224"/>
      <c r="H352" s="1224"/>
      <c r="I352" s="1224"/>
      <c r="J352" s="1224"/>
      <c r="K352" s="1224"/>
    </row>
    <row r="353" spans="3:11" x14ac:dyDescent="0.25">
      <c r="C353" s="1228"/>
      <c r="D353" s="1228"/>
      <c r="E353" s="1228"/>
      <c r="F353" s="1228"/>
      <c r="G353" s="1224"/>
      <c r="H353" s="1224"/>
      <c r="I353" s="1224"/>
      <c r="J353" s="1224"/>
      <c r="K353" s="1224"/>
    </row>
    <row r="354" spans="3:11" x14ac:dyDescent="0.25">
      <c r="C354" s="1228"/>
      <c r="D354" s="1228"/>
      <c r="E354" s="1228"/>
      <c r="F354" s="1228"/>
      <c r="G354" s="1224"/>
      <c r="H354" s="1224"/>
      <c r="I354" s="1224"/>
      <c r="J354" s="1224"/>
      <c r="K354" s="1224"/>
    </row>
    <row r="355" spans="3:11" x14ac:dyDescent="0.25">
      <c r="C355" s="1228"/>
      <c r="D355" s="1228"/>
      <c r="E355" s="1228"/>
      <c r="F355" s="1228"/>
      <c r="G355" s="1224"/>
      <c r="H355" s="1224"/>
      <c r="I355" s="1224"/>
      <c r="J355" s="1224"/>
      <c r="K355" s="1224"/>
    </row>
    <row r="356" spans="3:11" x14ac:dyDescent="0.25">
      <c r="C356" s="1228"/>
      <c r="D356" s="1228"/>
      <c r="E356" s="1228"/>
      <c r="F356" s="1228"/>
      <c r="G356" s="1224"/>
      <c r="H356" s="1224"/>
      <c r="I356" s="1224"/>
      <c r="J356" s="1224"/>
      <c r="K356" s="1224"/>
    </row>
    <row r="357" spans="3:11" x14ac:dyDescent="0.25">
      <c r="C357" s="1228"/>
      <c r="D357" s="1228"/>
      <c r="E357" s="1228"/>
      <c r="F357" s="1228"/>
      <c r="G357" s="1224"/>
      <c r="H357" s="1224"/>
      <c r="I357" s="1224"/>
      <c r="J357" s="1224"/>
      <c r="K357" s="1224"/>
    </row>
    <row r="358" spans="3:11" x14ac:dyDescent="0.25">
      <c r="C358" s="1228"/>
      <c r="D358" s="1228"/>
      <c r="E358" s="1228"/>
      <c r="F358" s="1228"/>
      <c r="G358" s="1224"/>
      <c r="H358" s="1224"/>
      <c r="I358" s="1224"/>
      <c r="J358" s="1224"/>
      <c r="K358" s="1224"/>
    </row>
    <row r="359" spans="3:11" x14ac:dyDescent="0.25">
      <c r="C359" s="1228"/>
      <c r="D359" s="1228"/>
      <c r="E359" s="1228"/>
      <c r="F359" s="1228"/>
      <c r="G359" s="1224"/>
      <c r="H359" s="1224"/>
      <c r="I359" s="1224"/>
      <c r="J359" s="1224"/>
      <c r="K359" s="1224"/>
    </row>
    <row r="360" spans="3:11" x14ac:dyDescent="0.25">
      <c r="C360" s="1228"/>
      <c r="D360" s="1228"/>
      <c r="E360" s="1228"/>
      <c r="F360" s="1228"/>
      <c r="G360" s="1224"/>
      <c r="H360" s="1224"/>
      <c r="I360" s="1224"/>
      <c r="J360" s="1224"/>
      <c r="K360" s="1224"/>
    </row>
    <row r="361" spans="3:11" x14ac:dyDescent="0.25">
      <c r="C361" s="1228"/>
      <c r="D361" s="1228"/>
      <c r="E361" s="1228"/>
      <c r="F361" s="1228"/>
      <c r="G361" s="1224"/>
      <c r="H361" s="1224"/>
      <c r="I361" s="1224"/>
      <c r="J361" s="1224"/>
      <c r="K361" s="1224"/>
    </row>
    <row r="362" spans="3:11" x14ac:dyDescent="0.25">
      <c r="C362" s="1228"/>
      <c r="D362" s="1228"/>
      <c r="E362" s="1228"/>
      <c r="F362" s="1228"/>
      <c r="G362" s="1224"/>
      <c r="H362" s="1224"/>
      <c r="I362" s="1224"/>
      <c r="J362" s="1224"/>
      <c r="K362" s="1224"/>
    </row>
    <row r="363" spans="3:11" x14ac:dyDescent="0.25">
      <c r="C363" s="1228"/>
      <c r="D363" s="1228"/>
      <c r="E363" s="1228"/>
      <c r="F363" s="1228"/>
      <c r="G363" s="1224"/>
      <c r="H363" s="1224"/>
      <c r="I363" s="1224"/>
      <c r="J363" s="1224"/>
      <c r="K363" s="1224"/>
    </row>
    <row r="364" spans="3:11" x14ac:dyDescent="0.25">
      <c r="C364" s="1228"/>
      <c r="D364" s="1228"/>
      <c r="E364" s="1228"/>
      <c r="F364" s="1228"/>
      <c r="G364" s="1224"/>
      <c r="H364" s="1224"/>
      <c r="I364" s="1224"/>
      <c r="J364" s="1224"/>
      <c r="K364" s="1224"/>
    </row>
    <row r="365" spans="3:11" x14ac:dyDescent="0.25">
      <c r="C365" s="1228"/>
      <c r="D365" s="1228"/>
      <c r="E365" s="1228"/>
      <c r="F365" s="1228"/>
      <c r="G365" s="1224"/>
      <c r="H365" s="1224"/>
      <c r="I365" s="1224"/>
      <c r="J365" s="1224"/>
      <c r="K365" s="1224"/>
    </row>
    <row r="366" spans="3:11" x14ac:dyDescent="0.25">
      <c r="C366" s="1228"/>
      <c r="D366" s="1228"/>
      <c r="E366" s="1228"/>
      <c r="F366" s="1228"/>
      <c r="G366" s="1224"/>
      <c r="H366" s="1224"/>
      <c r="I366" s="1224"/>
      <c r="J366" s="1224"/>
      <c r="K366" s="1224"/>
    </row>
    <row r="367" spans="3:11" x14ac:dyDescent="0.25">
      <c r="C367" s="1228"/>
      <c r="D367" s="1228"/>
      <c r="E367" s="1228"/>
      <c r="F367" s="1228"/>
      <c r="G367" s="1224"/>
      <c r="H367" s="1224"/>
      <c r="I367" s="1224"/>
      <c r="J367" s="1224"/>
      <c r="K367" s="1224"/>
    </row>
    <row r="368" spans="3:11" x14ac:dyDescent="0.25">
      <c r="C368" s="1228"/>
      <c r="D368" s="1228"/>
      <c r="E368" s="1228"/>
      <c r="F368" s="1228"/>
      <c r="G368" s="1224"/>
      <c r="H368" s="1224"/>
      <c r="I368" s="1224"/>
      <c r="J368" s="1224"/>
      <c r="K368" s="1224"/>
    </row>
    <row r="369" spans="3:11" x14ac:dyDescent="0.25">
      <c r="C369" s="1228"/>
      <c r="D369" s="1228"/>
      <c r="E369" s="1228"/>
      <c r="F369" s="1228"/>
      <c r="G369" s="1224"/>
      <c r="H369" s="1224"/>
      <c r="I369" s="1224"/>
      <c r="J369" s="1224"/>
      <c r="K369" s="1224"/>
    </row>
    <row r="370" spans="3:11" x14ac:dyDescent="0.25">
      <c r="C370" s="1228"/>
      <c r="D370" s="1228"/>
      <c r="E370" s="1228"/>
      <c r="F370" s="1228"/>
      <c r="G370" s="1224"/>
      <c r="H370" s="1224"/>
      <c r="I370" s="1224"/>
      <c r="J370" s="1224"/>
      <c r="K370" s="1224"/>
    </row>
    <row r="371" spans="3:11" x14ac:dyDescent="0.25">
      <c r="C371" s="1228"/>
      <c r="D371" s="1228"/>
      <c r="E371" s="1228"/>
      <c r="F371" s="1228"/>
      <c r="G371" s="1224"/>
      <c r="H371" s="1224"/>
      <c r="I371" s="1224"/>
      <c r="J371" s="1224"/>
      <c r="K371" s="1224"/>
    </row>
    <row r="372" spans="3:11" x14ac:dyDescent="0.25">
      <c r="C372" s="1228"/>
      <c r="D372" s="1228"/>
      <c r="E372" s="1228"/>
      <c r="F372" s="1228"/>
      <c r="G372" s="1224"/>
      <c r="H372" s="1224"/>
      <c r="I372" s="1224"/>
      <c r="J372" s="1224"/>
      <c r="K372" s="1224"/>
    </row>
    <row r="373" spans="3:11" x14ac:dyDescent="0.25">
      <c r="C373" s="1228"/>
      <c r="D373" s="1228"/>
      <c r="E373" s="1228"/>
      <c r="F373" s="1228"/>
      <c r="G373" s="1224"/>
      <c r="H373" s="1224"/>
      <c r="I373" s="1224"/>
      <c r="J373" s="1224"/>
      <c r="K373" s="1224"/>
    </row>
    <row r="374" spans="3:11" x14ac:dyDescent="0.25">
      <c r="C374" s="1228"/>
      <c r="D374" s="1228"/>
      <c r="E374" s="1228"/>
      <c r="F374" s="1228"/>
      <c r="G374" s="1224"/>
      <c r="H374" s="1224"/>
      <c r="I374" s="1224"/>
      <c r="J374" s="1224"/>
      <c r="K374" s="1224"/>
    </row>
    <row r="375" spans="3:11" x14ac:dyDescent="0.25">
      <c r="C375" s="1228"/>
      <c r="D375" s="1228"/>
      <c r="E375" s="1228"/>
      <c r="F375" s="1228"/>
      <c r="G375" s="1224"/>
      <c r="H375" s="1224"/>
      <c r="I375" s="1224"/>
      <c r="J375" s="1224"/>
      <c r="K375" s="1224"/>
    </row>
    <row r="376" spans="3:11" x14ac:dyDescent="0.25">
      <c r="C376" s="1228"/>
      <c r="D376" s="1228"/>
      <c r="E376" s="1228"/>
      <c r="F376" s="1228"/>
      <c r="G376" s="1224"/>
      <c r="H376" s="1224"/>
      <c r="I376" s="1224"/>
      <c r="J376" s="1224"/>
      <c r="K376" s="1224"/>
    </row>
    <row r="377" spans="3:11" x14ac:dyDescent="0.25">
      <c r="C377" s="1228"/>
      <c r="D377" s="1228"/>
      <c r="E377" s="1228"/>
      <c r="F377" s="1228"/>
      <c r="G377" s="1224"/>
      <c r="H377" s="1224"/>
      <c r="I377" s="1224"/>
      <c r="J377" s="1224"/>
      <c r="K377" s="1224"/>
    </row>
    <row r="378" spans="3:11" x14ac:dyDescent="0.25">
      <c r="C378" s="1228"/>
      <c r="D378" s="1228"/>
      <c r="E378" s="1228"/>
      <c r="F378" s="1228"/>
      <c r="G378" s="1224"/>
      <c r="H378" s="1224"/>
      <c r="I378" s="1224"/>
      <c r="J378" s="1224"/>
      <c r="K378" s="1224"/>
    </row>
    <row r="379" spans="3:11" x14ac:dyDescent="0.25">
      <c r="C379" s="1228"/>
      <c r="D379" s="1228"/>
      <c r="E379" s="1228"/>
      <c r="F379" s="1228"/>
      <c r="G379" s="1224"/>
      <c r="H379" s="1224"/>
      <c r="I379" s="1224"/>
      <c r="J379" s="1224"/>
      <c r="K379" s="1224"/>
    </row>
    <row r="380" spans="3:11" x14ac:dyDescent="0.25">
      <c r="C380" s="1228"/>
      <c r="D380" s="1228"/>
      <c r="E380" s="1228"/>
      <c r="F380" s="1228"/>
      <c r="G380" s="1224"/>
      <c r="H380" s="1224"/>
      <c r="I380" s="1224"/>
      <c r="J380" s="1224"/>
      <c r="K380" s="1224"/>
    </row>
    <row r="381" spans="3:11" x14ac:dyDescent="0.25">
      <c r="C381" s="1228"/>
      <c r="D381" s="1228"/>
      <c r="E381" s="1228"/>
      <c r="F381" s="1228"/>
      <c r="G381" s="1224"/>
      <c r="H381" s="1224"/>
      <c r="I381" s="1224"/>
      <c r="J381" s="1224"/>
      <c r="K381" s="1224"/>
    </row>
    <row r="382" spans="3:11" x14ac:dyDescent="0.25">
      <c r="C382" s="1228"/>
      <c r="D382" s="1228"/>
      <c r="E382" s="1228"/>
      <c r="F382" s="1228"/>
      <c r="G382" s="1224"/>
      <c r="H382" s="1224"/>
      <c r="I382" s="1224"/>
      <c r="J382" s="1224"/>
      <c r="K382" s="1224"/>
    </row>
    <row r="383" spans="3:11" x14ac:dyDescent="0.25">
      <c r="C383" s="1228"/>
      <c r="D383" s="1228"/>
      <c r="E383" s="1228"/>
      <c r="F383" s="1228"/>
      <c r="G383" s="1224"/>
      <c r="H383" s="1224"/>
      <c r="I383" s="1224"/>
      <c r="J383" s="1224"/>
      <c r="K383" s="1224"/>
    </row>
    <row r="384" spans="3:11" x14ac:dyDescent="0.25">
      <c r="C384" s="1228"/>
      <c r="D384" s="1228"/>
      <c r="E384" s="1228"/>
      <c r="F384" s="1228"/>
      <c r="G384" s="1224"/>
      <c r="H384" s="1224"/>
      <c r="I384" s="1224"/>
      <c r="J384" s="1224"/>
      <c r="K384" s="1224"/>
    </row>
    <row r="385" spans="3:11" x14ac:dyDescent="0.25">
      <c r="C385" s="1228"/>
      <c r="D385" s="1228"/>
      <c r="E385" s="1228"/>
      <c r="F385" s="1228"/>
      <c r="G385" s="1224"/>
      <c r="H385" s="1224"/>
      <c r="I385" s="1224"/>
      <c r="J385" s="1224"/>
      <c r="K385" s="1224"/>
    </row>
    <row r="386" spans="3:11" x14ac:dyDescent="0.25">
      <c r="C386" s="1228"/>
      <c r="D386" s="1228"/>
      <c r="E386" s="1228"/>
      <c r="F386" s="1228"/>
      <c r="G386" s="1224"/>
      <c r="H386" s="1224"/>
      <c r="I386" s="1224"/>
      <c r="J386" s="1224"/>
      <c r="K386" s="1224"/>
    </row>
    <row r="387" spans="3:11" x14ac:dyDescent="0.25">
      <c r="C387" s="1228"/>
      <c r="D387" s="1228"/>
      <c r="E387" s="1228"/>
      <c r="F387" s="1228"/>
      <c r="G387" s="1224"/>
      <c r="H387" s="1224"/>
      <c r="I387" s="1224"/>
      <c r="J387" s="1224"/>
      <c r="K387" s="1224"/>
    </row>
    <row r="388" spans="3:11" x14ac:dyDescent="0.25">
      <c r="C388" s="1228"/>
      <c r="D388" s="1228"/>
      <c r="E388" s="1228"/>
      <c r="F388" s="1228"/>
      <c r="G388" s="1224"/>
      <c r="H388" s="1224"/>
      <c r="I388" s="1224"/>
      <c r="J388" s="1224"/>
      <c r="K388" s="1224"/>
    </row>
    <row r="389" spans="3:11" x14ac:dyDescent="0.25">
      <c r="C389" s="1228"/>
      <c r="D389" s="1228"/>
      <c r="E389" s="1228"/>
      <c r="F389" s="1228"/>
      <c r="G389" s="1224"/>
      <c r="H389" s="1224"/>
      <c r="I389" s="1224"/>
      <c r="J389" s="1224"/>
      <c r="K389" s="1224"/>
    </row>
    <row r="390" spans="3:11" x14ac:dyDescent="0.25">
      <c r="C390" s="1228"/>
      <c r="D390" s="1228"/>
      <c r="E390" s="1228"/>
      <c r="F390" s="1228"/>
      <c r="G390" s="1224"/>
      <c r="H390" s="1224"/>
      <c r="I390" s="1224"/>
      <c r="J390" s="1224"/>
      <c r="K390" s="1224"/>
    </row>
    <row r="391" spans="3:11" x14ac:dyDescent="0.25">
      <c r="C391" s="1228"/>
      <c r="D391" s="1228"/>
      <c r="E391" s="1228"/>
      <c r="F391" s="1228"/>
      <c r="G391" s="1224"/>
      <c r="H391" s="1224"/>
      <c r="I391" s="1224"/>
      <c r="J391" s="1224"/>
      <c r="K391" s="1224"/>
    </row>
    <row r="392" spans="3:11" x14ac:dyDescent="0.25">
      <c r="C392" s="1228"/>
      <c r="D392" s="1228"/>
      <c r="E392" s="1228"/>
      <c r="F392" s="1228"/>
      <c r="G392" s="1224"/>
      <c r="H392" s="1224"/>
      <c r="I392" s="1224"/>
      <c r="J392" s="1224"/>
      <c r="K392" s="1224"/>
    </row>
    <row r="393" spans="3:11" x14ac:dyDescent="0.25">
      <c r="C393" s="1228"/>
      <c r="D393" s="1228"/>
      <c r="E393" s="1228"/>
      <c r="F393" s="1228"/>
      <c r="G393" s="1224"/>
      <c r="H393" s="1224"/>
      <c r="I393" s="1224"/>
      <c r="J393" s="1224"/>
      <c r="K393" s="1224"/>
    </row>
    <row r="394" spans="3:11" x14ac:dyDescent="0.25">
      <c r="C394" s="1228"/>
      <c r="D394" s="1228"/>
      <c r="E394" s="1228"/>
      <c r="F394" s="1228"/>
      <c r="G394" s="1224"/>
      <c r="H394" s="1224"/>
      <c r="I394" s="1224"/>
      <c r="J394" s="1224"/>
      <c r="K394" s="1224"/>
    </row>
    <row r="395" spans="3:11" x14ac:dyDescent="0.25">
      <c r="C395" s="1228"/>
      <c r="D395" s="1228"/>
      <c r="E395" s="1228"/>
      <c r="F395" s="1228"/>
      <c r="G395" s="1224"/>
      <c r="H395" s="1224"/>
      <c r="I395" s="1224"/>
      <c r="J395" s="1224"/>
      <c r="K395" s="1224"/>
    </row>
    <row r="396" spans="3:11" x14ac:dyDescent="0.25">
      <c r="C396" s="1228"/>
      <c r="D396" s="1228"/>
      <c r="E396" s="1228"/>
      <c r="F396" s="1228"/>
      <c r="G396" s="1224"/>
      <c r="H396" s="1224"/>
      <c r="I396" s="1224"/>
      <c r="J396" s="1224"/>
      <c r="K396" s="1224"/>
    </row>
    <row r="397" spans="3:11" x14ac:dyDescent="0.25">
      <c r="C397" s="1228"/>
      <c r="D397" s="1228"/>
      <c r="E397" s="1228"/>
      <c r="F397" s="1228"/>
      <c r="G397" s="1224"/>
      <c r="H397" s="1224"/>
      <c r="I397" s="1224"/>
      <c r="J397" s="1224"/>
      <c r="K397" s="1224"/>
    </row>
    <row r="398" spans="3:11" x14ac:dyDescent="0.25">
      <c r="C398" s="1228"/>
      <c r="D398" s="1228"/>
      <c r="E398" s="1228"/>
      <c r="F398" s="1228"/>
      <c r="G398" s="1224"/>
      <c r="H398" s="1224"/>
      <c r="I398" s="1224"/>
      <c r="J398" s="1224"/>
      <c r="K398" s="1224"/>
    </row>
    <row r="399" spans="3:11" x14ac:dyDescent="0.25">
      <c r="C399" s="1228"/>
      <c r="D399" s="1228"/>
      <c r="E399" s="1228"/>
      <c r="F399" s="1228"/>
      <c r="G399" s="1224"/>
      <c r="H399" s="1224"/>
      <c r="I399" s="1224"/>
      <c r="J399" s="1224"/>
      <c r="K399" s="1224"/>
    </row>
    <row r="400" spans="3:11" x14ac:dyDescent="0.25">
      <c r="C400" s="1228"/>
      <c r="D400" s="1228"/>
      <c r="E400" s="1228"/>
      <c r="F400" s="1228"/>
      <c r="G400" s="1224"/>
      <c r="H400" s="1224"/>
      <c r="I400" s="1224"/>
      <c r="J400" s="1224"/>
      <c r="K400" s="1224"/>
    </row>
    <row r="401" spans="3:11" x14ac:dyDescent="0.25">
      <c r="C401" s="1228"/>
      <c r="D401" s="1228"/>
      <c r="E401" s="1228"/>
      <c r="F401" s="1228"/>
      <c r="G401" s="1224"/>
      <c r="H401" s="1224"/>
      <c r="I401" s="1224"/>
      <c r="J401" s="1224"/>
      <c r="K401" s="1224"/>
    </row>
    <row r="402" spans="3:11" x14ac:dyDescent="0.25">
      <c r="C402" s="1228"/>
      <c r="D402" s="1228"/>
      <c r="E402" s="1228"/>
      <c r="F402" s="1228"/>
      <c r="G402" s="1224"/>
      <c r="H402" s="1224"/>
      <c r="I402" s="1224"/>
      <c r="J402" s="1224"/>
      <c r="K402" s="1224"/>
    </row>
    <row r="403" spans="3:11" x14ac:dyDescent="0.25">
      <c r="C403" s="1228"/>
      <c r="D403" s="1228"/>
      <c r="E403" s="1228"/>
      <c r="F403" s="1228"/>
      <c r="G403" s="1224"/>
      <c r="H403" s="1224"/>
      <c r="I403" s="1224"/>
      <c r="J403" s="1224"/>
      <c r="K403" s="1224"/>
    </row>
    <row r="404" spans="3:11" x14ac:dyDescent="0.25">
      <c r="C404" s="1228"/>
      <c r="D404" s="1228"/>
      <c r="E404" s="1228"/>
      <c r="F404" s="1228"/>
      <c r="G404" s="1224"/>
      <c r="H404" s="1224"/>
      <c r="I404" s="1224"/>
      <c r="J404" s="1224"/>
      <c r="K404" s="1224"/>
    </row>
    <row r="405" spans="3:11" x14ac:dyDescent="0.25">
      <c r="C405" s="1228"/>
      <c r="D405" s="1228"/>
      <c r="E405" s="1228"/>
      <c r="F405" s="1228"/>
      <c r="G405" s="1224"/>
      <c r="H405" s="1224"/>
      <c r="I405" s="1224"/>
      <c r="J405" s="1224"/>
      <c r="K405" s="1224"/>
    </row>
    <row r="406" spans="3:11" x14ac:dyDescent="0.25">
      <c r="C406" s="1228"/>
      <c r="D406" s="1228"/>
      <c r="E406" s="1228"/>
      <c r="F406" s="1228"/>
      <c r="G406" s="1224"/>
      <c r="H406" s="1224"/>
      <c r="I406" s="1224"/>
      <c r="J406" s="1224"/>
      <c r="K406" s="1224"/>
    </row>
    <row r="407" spans="3:11" x14ac:dyDescent="0.25">
      <c r="C407" s="1228"/>
      <c r="D407" s="1228"/>
      <c r="E407" s="1228"/>
      <c r="F407" s="1228"/>
      <c r="G407" s="1224"/>
      <c r="H407" s="1224"/>
      <c r="I407" s="1224"/>
      <c r="J407" s="1224"/>
      <c r="K407" s="1224"/>
    </row>
    <row r="408" spans="3:11" x14ac:dyDescent="0.25">
      <c r="C408" s="1228"/>
      <c r="D408" s="1228"/>
      <c r="E408" s="1228"/>
      <c r="F408" s="1228"/>
      <c r="G408" s="1224"/>
      <c r="H408" s="1224"/>
      <c r="I408" s="1224"/>
      <c r="J408" s="1224"/>
      <c r="K408" s="1224"/>
    </row>
    <row r="409" spans="3:11" x14ac:dyDescent="0.25">
      <c r="C409" s="1228"/>
      <c r="D409" s="1228"/>
      <c r="E409" s="1228"/>
      <c r="F409" s="1228"/>
      <c r="G409" s="1224"/>
      <c r="H409" s="1224"/>
      <c r="I409" s="1224"/>
      <c r="J409" s="1224"/>
      <c r="K409" s="1224"/>
    </row>
    <row r="410" spans="3:11" x14ac:dyDescent="0.25">
      <c r="C410" s="1228"/>
      <c r="D410" s="1228"/>
      <c r="E410" s="1228"/>
      <c r="F410" s="1228"/>
      <c r="G410" s="1224"/>
      <c r="H410" s="1224"/>
      <c r="I410" s="1224"/>
      <c r="J410" s="1224"/>
      <c r="K410" s="1224"/>
    </row>
    <row r="411" spans="3:11" x14ac:dyDescent="0.25">
      <c r="C411" s="1228"/>
      <c r="D411" s="1228"/>
      <c r="E411" s="1228"/>
      <c r="F411" s="1228"/>
      <c r="G411" s="1224"/>
      <c r="H411" s="1224"/>
      <c r="I411" s="1224"/>
      <c r="J411" s="1224"/>
      <c r="K411" s="1224"/>
    </row>
    <row r="412" spans="3:11" x14ac:dyDescent="0.25">
      <c r="C412" s="1228"/>
      <c r="D412" s="1228"/>
      <c r="E412" s="1228"/>
      <c r="F412" s="1228"/>
      <c r="G412" s="1224"/>
      <c r="H412" s="1224"/>
      <c r="I412" s="1224"/>
      <c r="J412" s="1224"/>
      <c r="K412" s="1224"/>
    </row>
    <row r="413" spans="3:11" x14ac:dyDescent="0.25">
      <c r="C413" s="1228"/>
      <c r="D413" s="1228"/>
      <c r="E413" s="1228"/>
      <c r="F413" s="1228"/>
      <c r="G413" s="1224"/>
      <c r="H413" s="1224"/>
      <c r="I413" s="1224"/>
      <c r="J413" s="1224"/>
      <c r="K413" s="1224"/>
    </row>
    <row r="414" spans="3:11" x14ac:dyDescent="0.25">
      <c r="C414" s="1228"/>
      <c r="D414" s="1228"/>
      <c r="E414" s="1228"/>
      <c r="F414" s="1228"/>
      <c r="G414" s="1224"/>
      <c r="H414" s="1224"/>
      <c r="I414" s="1224"/>
      <c r="J414" s="1224"/>
      <c r="K414" s="1224"/>
    </row>
    <row r="415" spans="3:11" x14ac:dyDescent="0.25">
      <c r="C415" s="1228"/>
      <c r="D415" s="1228"/>
      <c r="E415" s="1228"/>
      <c r="F415" s="1228"/>
      <c r="G415" s="1224"/>
      <c r="H415" s="1224"/>
      <c r="I415" s="1224"/>
      <c r="J415" s="1224"/>
      <c r="K415" s="1224"/>
    </row>
    <row r="416" spans="3:11" x14ac:dyDescent="0.25">
      <c r="C416" s="1228"/>
      <c r="D416" s="1228"/>
      <c r="E416" s="1228"/>
      <c r="F416" s="1228"/>
      <c r="G416" s="1224"/>
      <c r="H416" s="1224"/>
      <c r="I416" s="1224"/>
      <c r="J416" s="1224"/>
      <c r="K416" s="1224"/>
    </row>
    <row r="417" spans="3:11" x14ac:dyDescent="0.25">
      <c r="C417" s="1228"/>
      <c r="D417" s="1228"/>
      <c r="E417" s="1228"/>
      <c r="F417" s="1228"/>
      <c r="G417" s="1224"/>
      <c r="H417" s="1224"/>
      <c r="I417" s="1224"/>
      <c r="J417" s="1224"/>
      <c r="K417" s="1224"/>
    </row>
    <row r="418" spans="3:11" x14ac:dyDescent="0.25">
      <c r="C418" s="1228"/>
      <c r="D418" s="1228"/>
      <c r="E418" s="1228"/>
      <c r="F418" s="1228"/>
      <c r="G418" s="1224"/>
      <c r="H418" s="1224"/>
      <c r="I418" s="1224"/>
      <c r="J418" s="1224"/>
      <c r="K418" s="1224"/>
    </row>
    <row r="419" spans="3:11" x14ac:dyDescent="0.25">
      <c r="C419" s="1228"/>
      <c r="D419" s="1228"/>
      <c r="E419" s="1228"/>
      <c r="F419" s="1228"/>
      <c r="G419" s="1224"/>
      <c r="H419" s="1224"/>
      <c r="I419" s="1224"/>
      <c r="J419" s="1224"/>
      <c r="K419" s="1224"/>
    </row>
    <row r="420" spans="3:11" x14ac:dyDescent="0.25">
      <c r="C420" s="1228"/>
      <c r="D420" s="1228"/>
      <c r="E420" s="1228"/>
      <c r="F420" s="1228"/>
      <c r="G420" s="1224"/>
      <c r="H420" s="1224"/>
      <c r="I420" s="1224"/>
      <c r="J420" s="1224"/>
      <c r="K420" s="1224"/>
    </row>
    <row r="421" spans="3:11" x14ac:dyDescent="0.25">
      <c r="C421" s="1228"/>
      <c r="D421" s="1228"/>
      <c r="E421" s="1228"/>
      <c r="F421" s="1228"/>
      <c r="G421" s="1224"/>
      <c r="H421" s="1224"/>
      <c r="I421" s="1224"/>
      <c r="J421" s="1224"/>
      <c r="K421" s="1224"/>
    </row>
    <row r="422" spans="3:11" x14ac:dyDescent="0.25">
      <c r="C422" s="1228"/>
      <c r="D422" s="1228"/>
      <c r="E422" s="1228"/>
      <c r="F422" s="1228"/>
      <c r="G422" s="1224"/>
      <c r="H422" s="1224"/>
      <c r="I422" s="1224"/>
      <c r="J422" s="1224"/>
      <c r="K422" s="1224"/>
    </row>
    <row r="423" spans="3:11" x14ac:dyDescent="0.25">
      <c r="C423" s="1228"/>
      <c r="D423" s="1228"/>
      <c r="E423" s="1228"/>
      <c r="F423" s="1228"/>
      <c r="G423" s="1224"/>
      <c r="H423" s="1224"/>
      <c r="I423" s="1224"/>
      <c r="J423" s="1224"/>
      <c r="K423" s="1224"/>
    </row>
    <row r="424" spans="3:11" x14ac:dyDescent="0.25">
      <c r="C424" s="1228"/>
      <c r="D424" s="1228"/>
      <c r="E424" s="1228"/>
      <c r="F424" s="1228"/>
      <c r="G424" s="1224"/>
      <c r="H424" s="1224"/>
      <c r="I424" s="1224"/>
      <c r="J424" s="1224"/>
      <c r="K424" s="1224"/>
    </row>
    <row r="425" spans="3:11" x14ac:dyDescent="0.25">
      <c r="C425" s="1228"/>
      <c r="D425" s="1228"/>
      <c r="E425" s="1228"/>
      <c r="F425" s="1228"/>
      <c r="G425" s="1224"/>
      <c r="H425" s="1224"/>
      <c r="I425" s="1224"/>
      <c r="J425" s="1224"/>
      <c r="K425" s="1224"/>
    </row>
    <row r="426" spans="3:11" x14ac:dyDescent="0.25">
      <c r="C426" s="1228"/>
      <c r="D426" s="1228"/>
      <c r="E426" s="1228"/>
      <c r="F426" s="1228"/>
      <c r="G426" s="1224"/>
      <c r="H426" s="1224"/>
      <c r="I426" s="1224"/>
      <c r="J426" s="1224"/>
      <c r="K426" s="1224"/>
    </row>
    <row r="427" spans="3:11" x14ac:dyDescent="0.25">
      <c r="C427" s="1228"/>
      <c r="D427" s="1228"/>
      <c r="E427" s="1228"/>
      <c r="F427" s="1228"/>
      <c r="G427" s="1224"/>
      <c r="H427" s="1224"/>
      <c r="I427" s="1224"/>
      <c r="J427" s="1224"/>
      <c r="K427" s="1224"/>
    </row>
    <row r="428" spans="3:11" x14ac:dyDescent="0.25">
      <c r="C428" s="1228"/>
      <c r="D428" s="1228"/>
      <c r="E428" s="1228"/>
      <c r="F428" s="1228"/>
      <c r="G428" s="1224"/>
      <c r="H428" s="1224"/>
      <c r="I428" s="1224"/>
      <c r="J428" s="1224"/>
      <c r="K428" s="1224"/>
    </row>
    <row r="429" spans="3:11" x14ac:dyDescent="0.25">
      <c r="C429" s="1228"/>
      <c r="D429" s="1228"/>
      <c r="E429" s="1228"/>
      <c r="F429" s="1228"/>
      <c r="G429" s="1224"/>
      <c r="H429" s="1224"/>
      <c r="I429" s="1224"/>
      <c r="J429" s="1224"/>
      <c r="K429" s="1224"/>
    </row>
    <row r="430" spans="3:11" x14ac:dyDescent="0.25">
      <c r="C430" s="1228"/>
      <c r="D430" s="1228"/>
      <c r="E430" s="1228"/>
      <c r="F430" s="1228"/>
      <c r="G430" s="1224"/>
      <c r="H430" s="1224"/>
      <c r="I430" s="1224"/>
      <c r="J430" s="1224"/>
      <c r="K430" s="1224"/>
    </row>
    <row r="431" spans="3:11" x14ac:dyDescent="0.25">
      <c r="C431" s="1228"/>
      <c r="D431" s="1228"/>
      <c r="E431" s="1228"/>
      <c r="F431" s="1228"/>
      <c r="G431" s="1224"/>
      <c r="H431" s="1224"/>
      <c r="I431" s="1224"/>
      <c r="J431" s="1224"/>
      <c r="K431" s="1224"/>
    </row>
    <row r="432" spans="3:11" x14ac:dyDescent="0.25">
      <c r="C432" s="1228"/>
      <c r="D432" s="1228"/>
      <c r="E432" s="1228"/>
      <c r="F432" s="1228"/>
      <c r="G432" s="1224"/>
      <c r="H432" s="1224"/>
      <c r="I432" s="1224"/>
      <c r="J432" s="1224"/>
      <c r="K432" s="1224"/>
    </row>
    <row r="433" spans="3:11" x14ac:dyDescent="0.25">
      <c r="C433" s="1228"/>
      <c r="D433" s="1228"/>
      <c r="E433" s="1228"/>
      <c r="F433" s="1228"/>
      <c r="G433" s="1224"/>
      <c r="H433" s="1224"/>
      <c r="I433" s="1224"/>
      <c r="J433" s="1224"/>
      <c r="K433" s="1224"/>
    </row>
    <row r="434" spans="3:11" x14ac:dyDescent="0.25">
      <c r="C434" s="1228"/>
      <c r="D434" s="1228"/>
      <c r="E434" s="1228"/>
      <c r="F434" s="1228"/>
      <c r="G434" s="1224"/>
      <c r="H434" s="1224"/>
      <c r="I434" s="1224"/>
      <c r="J434" s="1224"/>
      <c r="K434" s="1224"/>
    </row>
    <row r="435" spans="3:11" x14ac:dyDescent="0.25">
      <c r="C435" s="1228"/>
      <c r="D435" s="1228"/>
      <c r="E435" s="1228"/>
      <c r="F435" s="1228"/>
      <c r="G435" s="1224"/>
      <c r="H435" s="1224"/>
      <c r="I435" s="1224"/>
      <c r="J435" s="1224"/>
      <c r="K435" s="1224"/>
    </row>
    <row r="436" spans="3:11" x14ac:dyDescent="0.25">
      <c r="C436" s="1228"/>
      <c r="D436" s="1228"/>
      <c r="E436" s="1228"/>
      <c r="F436" s="1228"/>
      <c r="G436" s="1224"/>
      <c r="H436" s="1224"/>
      <c r="I436" s="1224"/>
      <c r="J436" s="1224"/>
      <c r="K436" s="1224"/>
    </row>
    <row r="437" spans="3:11" x14ac:dyDescent="0.25">
      <c r="C437" s="1228"/>
      <c r="D437" s="1228"/>
      <c r="E437" s="1228"/>
      <c r="F437" s="1228"/>
      <c r="G437" s="1224"/>
      <c r="H437" s="1224"/>
      <c r="I437" s="1224"/>
      <c r="J437" s="1224"/>
      <c r="K437" s="1224"/>
    </row>
    <row r="438" spans="3:11" x14ac:dyDescent="0.25">
      <c r="C438" s="1228"/>
      <c r="D438" s="1228"/>
      <c r="E438" s="1228"/>
      <c r="F438" s="1228"/>
      <c r="G438" s="1224"/>
      <c r="H438" s="1224"/>
      <c r="I438" s="1224"/>
      <c r="J438" s="1224"/>
      <c r="K438" s="1224"/>
    </row>
    <row r="439" spans="3:11" x14ac:dyDescent="0.25">
      <c r="C439" s="1228"/>
      <c r="D439" s="1228"/>
      <c r="E439" s="1228"/>
      <c r="F439" s="1228"/>
      <c r="G439" s="1224"/>
      <c r="H439" s="1224"/>
      <c r="I439" s="1224"/>
      <c r="J439" s="1224"/>
      <c r="K439" s="1224"/>
    </row>
    <row r="440" spans="3:11" x14ac:dyDescent="0.25">
      <c r="C440" s="1228"/>
      <c r="D440" s="1228"/>
      <c r="E440" s="1228"/>
      <c r="F440" s="1228"/>
      <c r="G440" s="1224"/>
      <c r="H440" s="1224"/>
      <c r="I440" s="1224"/>
      <c r="J440" s="1224"/>
      <c r="K440" s="1224"/>
    </row>
    <row r="441" spans="3:11" x14ac:dyDescent="0.25">
      <c r="C441" s="1228"/>
      <c r="D441" s="1228"/>
      <c r="E441" s="1228"/>
      <c r="F441" s="1228"/>
      <c r="G441" s="1224"/>
      <c r="H441" s="1224"/>
      <c r="I441" s="1224"/>
      <c r="J441" s="1224"/>
      <c r="K441" s="1224"/>
    </row>
    <row r="442" spans="3:11" x14ac:dyDescent="0.25">
      <c r="C442" s="1228"/>
      <c r="D442" s="1228"/>
      <c r="E442" s="1228"/>
      <c r="F442" s="1228"/>
      <c r="G442" s="1224"/>
      <c r="H442" s="1224"/>
      <c r="I442" s="1224"/>
      <c r="J442" s="1224"/>
      <c r="K442" s="1224"/>
    </row>
    <row r="576" s="16" customFormat="1" ht="11.25" customHeight="1" x14ac:dyDescent="0.25"/>
  </sheetData>
  <mergeCells count="4187">
    <mergeCell ref="G1:J1"/>
    <mergeCell ref="G2:J2"/>
    <mergeCell ref="E53:J53"/>
    <mergeCell ref="E40:J40"/>
    <mergeCell ref="G4:G5"/>
    <mergeCell ref="H4:H5"/>
    <mergeCell ref="I4:I5"/>
    <mergeCell ref="J4:J5"/>
    <mergeCell ref="L86:M86"/>
    <mergeCell ref="L132:M132"/>
    <mergeCell ref="L134:M134"/>
    <mergeCell ref="F142:J142"/>
    <mergeCell ref="F143:J143"/>
    <mergeCell ref="F144:J144"/>
    <mergeCell ref="E146:J146"/>
    <mergeCell ref="E102:F102"/>
    <mergeCell ref="E103:F103"/>
    <mergeCell ref="E112:F112"/>
    <mergeCell ref="E113:F113"/>
    <mergeCell ref="E114:F114"/>
    <mergeCell ref="E145:J145"/>
    <mergeCell ref="E135:J135"/>
    <mergeCell ref="E136:J136"/>
    <mergeCell ref="E106:F106"/>
    <mergeCell ref="E107:F107"/>
    <mergeCell ref="E108:F108"/>
    <mergeCell ref="E109:F109"/>
    <mergeCell ref="E134:J134"/>
    <mergeCell ref="E91:K91"/>
    <mergeCell ref="E93:E94"/>
    <mergeCell ref="E92:J92"/>
    <mergeCell ref="E95:F95"/>
    <mergeCell ref="B234:B235"/>
    <mergeCell ref="B236:B237"/>
    <mergeCell ref="F155:J155"/>
    <mergeCell ref="F157:J157"/>
    <mergeCell ref="F158:J158"/>
    <mergeCell ref="F160:J160"/>
    <mergeCell ref="F161:J161"/>
    <mergeCell ref="F162:J162"/>
    <mergeCell ref="E212:J212"/>
    <mergeCell ref="C169:C170"/>
    <mergeCell ref="K169:K170"/>
    <mergeCell ref="L145:M145"/>
    <mergeCell ref="L161:M161"/>
    <mergeCell ref="K188:K189"/>
    <mergeCell ref="E201:F201"/>
    <mergeCell ref="E4:F4"/>
    <mergeCell ref="E42:F42"/>
    <mergeCell ref="G42:G43"/>
    <mergeCell ref="H42:H43"/>
    <mergeCell ref="I42:I43"/>
    <mergeCell ref="J42:J43"/>
    <mergeCell ref="E55:F55"/>
    <mergeCell ref="G55:G56"/>
    <mergeCell ref="H55:H56"/>
    <mergeCell ref="I55:I56"/>
    <mergeCell ref="J55:J56"/>
    <mergeCell ref="E96:F96"/>
    <mergeCell ref="E97:F97"/>
    <mergeCell ref="C252:F252"/>
    <mergeCell ref="E238:J238"/>
    <mergeCell ref="E239:J239"/>
    <mergeCell ref="F156:J156"/>
    <mergeCell ref="E147:J147"/>
    <mergeCell ref="E148:J148"/>
    <mergeCell ref="F150:J150"/>
    <mergeCell ref="F151:J151"/>
    <mergeCell ref="F152:J152"/>
    <mergeCell ref="F154:J154"/>
    <mergeCell ref="E208:J208"/>
    <mergeCell ref="E210:J210"/>
    <mergeCell ref="E209:J209"/>
    <mergeCell ref="E214:J214"/>
    <mergeCell ref="E213:J213"/>
    <mergeCell ref="E211:J211"/>
    <mergeCell ref="E104:F104"/>
    <mergeCell ref="C188:C189"/>
    <mergeCell ref="E196:F196"/>
    <mergeCell ref="CU169:CU170"/>
    <mergeCell ref="DC169:DC170"/>
    <mergeCell ref="DK169:DK170"/>
    <mergeCell ref="DS169:DS170"/>
    <mergeCell ref="EA169:EA170"/>
    <mergeCell ref="BG169:BG170"/>
    <mergeCell ref="BO169:BO170"/>
    <mergeCell ref="BW169:BW170"/>
    <mergeCell ref="CE169:CE170"/>
    <mergeCell ref="CM169:CM170"/>
    <mergeCell ref="S169:S170"/>
    <mergeCell ref="AA169:AA170"/>
    <mergeCell ref="AI169:AI170"/>
    <mergeCell ref="AQ169:AQ170"/>
    <mergeCell ref="AY169:AY170"/>
    <mergeCell ref="E64:J64"/>
    <mergeCell ref="E101:F101"/>
    <mergeCell ref="E98:F98"/>
    <mergeCell ref="E99:F99"/>
    <mergeCell ref="E100:F100"/>
    <mergeCell ref="E115:F115"/>
    <mergeCell ref="E110:F110"/>
    <mergeCell ref="E111:F111"/>
    <mergeCell ref="L162:M162"/>
    <mergeCell ref="E167:J167"/>
    <mergeCell ref="F159:J159"/>
    <mergeCell ref="L154:M154"/>
    <mergeCell ref="L160:N160"/>
    <mergeCell ref="L135:M136"/>
    <mergeCell ref="IY169:IY170"/>
    <mergeCell ref="JG169:JG170"/>
    <mergeCell ref="JO169:JO170"/>
    <mergeCell ref="JW169:JW170"/>
    <mergeCell ref="KE169:KE170"/>
    <mergeCell ref="HK169:HK170"/>
    <mergeCell ref="HS169:HS170"/>
    <mergeCell ref="IA169:IA170"/>
    <mergeCell ref="II169:II170"/>
    <mergeCell ref="IQ169:IQ170"/>
    <mergeCell ref="FW169:FW170"/>
    <mergeCell ref="GE169:GE170"/>
    <mergeCell ref="GM169:GM170"/>
    <mergeCell ref="GU169:GU170"/>
    <mergeCell ref="HC169:HC170"/>
    <mergeCell ref="EI169:EI170"/>
    <mergeCell ref="EQ169:EQ170"/>
    <mergeCell ref="EY169:EY170"/>
    <mergeCell ref="FG169:FG170"/>
    <mergeCell ref="FO169:FO170"/>
    <mergeCell ref="PC169:PC170"/>
    <mergeCell ref="PK169:PK170"/>
    <mergeCell ref="PS169:PS170"/>
    <mergeCell ref="QA169:QA170"/>
    <mergeCell ref="QI169:QI170"/>
    <mergeCell ref="NO169:NO170"/>
    <mergeCell ref="NW169:NW170"/>
    <mergeCell ref="OE169:OE170"/>
    <mergeCell ref="OM169:OM170"/>
    <mergeCell ref="OU169:OU170"/>
    <mergeCell ref="MA169:MA170"/>
    <mergeCell ref="MI169:MI170"/>
    <mergeCell ref="MQ169:MQ170"/>
    <mergeCell ref="MY169:MY170"/>
    <mergeCell ref="NG169:NG170"/>
    <mergeCell ref="KM169:KM170"/>
    <mergeCell ref="KU169:KU170"/>
    <mergeCell ref="LC169:LC170"/>
    <mergeCell ref="LK169:LK170"/>
    <mergeCell ref="LS169:LS170"/>
    <mergeCell ref="VG169:VG170"/>
    <mergeCell ref="VO169:VO170"/>
    <mergeCell ref="VW169:VW170"/>
    <mergeCell ref="WE169:WE170"/>
    <mergeCell ref="WM169:WM170"/>
    <mergeCell ref="TS169:TS170"/>
    <mergeCell ref="UA169:UA170"/>
    <mergeCell ref="UI169:UI170"/>
    <mergeCell ref="UQ169:UQ170"/>
    <mergeCell ref="UY169:UY170"/>
    <mergeCell ref="SE169:SE170"/>
    <mergeCell ref="SM169:SM170"/>
    <mergeCell ref="SU169:SU170"/>
    <mergeCell ref="TC169:TC170"/>
    <mergeCell ref="TK169:TK170"/>
    <mergeCell ref="QQ169:QQ170"/>
    <mergeCell ref="QY169:QY170"/>
    <mergeCell ref="RG169:RG170"/>
    <mergeCell ref="RO169:RO170"/>
    <mergeCell ref="RW169:RW170"/>
    <mergeCell ref="ABK169:ABK170"/>
    <mergeCell ref="ABS169:ABS170"/>
    <mergeCell ref="ACA169:ACA170"/>
    <mergeCell ref="ACI169:ACI170"/>
    <mergeCell ref="ACQ169:ACQ170"/>
    <mergeCell ref="ZW169:ZW170"/>
    <mergeCell ref="AAE169:AAE170"/>
    <mergeCell ref="AAM169:AAM170"/>
    <mergeCell ref="AAU169:AAU170"/>
    <mergeCell ref="ABC169:ABC170"/>
    <mergeCell ref="YI169:YI170"/>
    <mergeCell ref="YQ169:YQ170"/>
    <mergeCell ref="YY169:YY170"/>
    <mergeCell ref="ZG169:ZG170"/>
    <mergeCell ref="ZO169:ZO170"/>
    <mergeCell ref="WU169:WU170"/>
    <mergeCell ref="XC169:XC170"/>
    <mergeCell ref="XK169:XK170"/>
    <mergeCell ref="XS169:XS170"/>
    <mergeCell ref="YA169:YA170"/>
    <mergeCell ref="AHO169:AHO170"/>
    <mergeCell ref="AHW169:AHW170"/>
    <mergeCell ref="AIE169:AIE170"/>
    <mergeCell ref="AIM169:AIM170"/>
    <mergeCell ref="AIU169:AIU170"/>
    <mergeCell ref="AGA169:AGA170"/>
    <mergeCell ref="AGI169:AGI170"/>
    <mergeCell ref="AGQ169:AGQ170"/>
    <mergeCell ref="AGY169:AGY170"/>
    <mergeCell ref="AHG169:AHG170"/>
    <mergeCell ref="AEM169:AEM170"/>
    <mergeCell ref="AEU169:AEU170"/>
    <mergeCell ref="AFC169:AFC170"/>
    <mergeCell ref="AFK169:AFK170"/>
    <mergeCell ref="AFS169:AFS170"/>
    <mergeCell ref="ACY169:ACY170"/>
    <mergeCell ref="ADG169:ADG170"/>
    <mergeCell ref="ADO169:ADO170"/>
    <mergeCell ref="ADW169:ADW170"/>
    <mergeCell ref="AEE169:AEE170"/>
    <mergeCell ref="ANS169:ANS170"/>
    <mergeCell ref="AOA169:AOA170"/>
    <mergeCell ref="AOI169:AOI170"/>
    <mergeCell ref="AOQ169:AOQ170"/>
    <mergeCell ref="AOY169:AOY170"/>
    <mergeCell ref="AME169:AME170"/>
    <mergeCell ref="AMM169:AMM170"/>
    <mergeCell ref="AMU169:AMU170"/>
    <mergeCell ref="ANC169:ANC170"/>
    <mergeCell ref="ANK169:ANK170"/>
    <mergeCell ref="AKQ169:AKQ170"/>
    <mergeCell ref="AKY169:AKY170"/>
    <mergeCell ref="ALG169:ALG170"/>
    <mergeCell ref="ALO169:ALO170"/>
    <mergeCell ref="ALW169:ALW170"/>
    <mergeCell ref="AJC169:AJC170"/>
    <mergeCell ref="AJK169:AJK170"/>
    <mergeCell ref="AJS169:AJS170"/>
    <mergeCell ref="AKA169:AKA170"/>
    <mergeCell ref="AKI169:AKI170"/>
    <mergeCell ref="ATW169:ATW170"/>
    <mergeCell ref="AUE169:AUE170"/>
    <mergeCell ref="AUM169:AUM170"/>
    <mergeCell ref="AUU169:AUU170"/>
    <mergeCell ref="AVC169:AVC170"/>
    <mergeCell ref="ASI169:ASI170"/>
    <mergeCell ref="ASQ169:ASQ170"/>
    <mergeCell ref="ASY169:ASY170"/>
    <mergeCell ref="ATG169:ATG170"/>
    <mergeCell ref="ATO169:ATO170"/>
    <mergeCell ref="AQU169:AQU170"/>
    <mergeCell ref="ARC169:ARC170"/>
    <mergeCell ref="ARK169:ARK170"/>
    <mergeCell ref="ARS169:ARS170"/>
    <mergeCell ref="ASA169:ASA170"/>
    <mergeCell ref="APG169:APG170"/>
    <mergeCell ref="APO169:APO170"/>
    <mergeCell ref="APW169:APW170"/>
    <mergeCell ref="AQE169:AQE170"/>
    <mergeCell ref="AQM169:AQM170"/>
    <mergeCell ref="BAA169:BAA170"/>
    <mergeCell ref="BAI169:BAI170"/>
    <mergeCell ref="BAQ169:BAQ170"/>
    <mergeCell ref="BAY169:BAY170"/>
    <mergeCell ref="BBG169:BBG170"/>
    <mergeCell ref="AYM169:AYM170"/>
    <mergeCell ref="AYU169:AYU170"/>
    <mergeCell ref="AZC169:AZC170"/>
    <mergeCell ref="AZK169:AZK170"/>
    <mergeCell ref="AZS169:AZS170"/>
    <mergeCell ref="AWY169:AWY170"/>
    <mergeCell ref="AXG169:AXG170"/>
    <mergeCell ref="AXO169:AXO170"/>
    <mergeCell ref="AXW169:AXW170"/>
    <mergeCell ref="AYE169:AYE170"/>
    <mergeCell ref="AVK169:AVK170"/>
    <mergeCell ref="AVS169:AVS170"/>
    <mergeCell ref="AWA169:AWA170"/>
    <mergeCell ref="AWI169:AWI170"/>
    <mergeCell ref="AWQ169:AWQ170"/>
    <mergeCell ref="BGE169:BGE170"/>
    <mergeCell ref="BGM169:BGM170"/>
    <mergeCell ref="BGU169:BGU170"/>
    <mergeCell ref="BHC169:BHC170"/>
    <mergeCell ref="BHK169:BHK170"/>
    <mergeCell ref="BEQ169:BEQ170"/>
    <mergeCell ref="BEY169:BEY170"/>
    <mergeCell ref="BFG169:BFG170"/>
    <mergeCell ref="BFO169:BFO170"/>
    <mergeCell ref="BFW169:BFW170"/>
    <mergeCell ref="BDC169:BDC170"/>
    <mergeCell ref="BDK169:BDK170"/>
    <mergeCell ref="BDS169:BDS170"/>
    <mergeCell ref="BEA169:BEA170"/>
    <mergeCell ref="BEI169:BEI170"/>
    <mergeCell ref="BBO169:BBO170"/>
    <mergeCell ref="BBW169:BBW170"/>
    <mergeCell ref="BCE169:BCE170"/>
    <mergeCell ref="BCM169:BCM170"/>
    <mergeCell ref="BCU169:BCU170"/>
    <mergeCell ref="BMI169:BMI170"/>
    <mergeCell ref="BMQ169:BMQ170"/>
    <mergeCell ref="BMY169:BMY170"/>
    <mergeCell ref="BNG169:BNG170"/>
    <mergeCell ref="BNO169:BNO170"/>
    <mergeCell ref="BKU169:BKU170"/>
    <mergeCell ref="BLC169:BLC170"/>
    <mergeCell ref="BLK169:BLK170"/>
    <mergeCell ref="BLS169:BLS170"/>
    <mergeCell ref="BMA169:BMA170"/>
    <mergeCell ref="BJG169:BJG170"/>
    <mergeCell ref="BJO169:BJO170"/>
    <mergeCell ref="BJW169:BJW170"/>
    <mergeCell ref="BKE169:BKE170"/>
    <mergeCell ref="BKM169:BKM170"/>
    <mergeCell ref="BHS169:BHS170"/>
    <mergeCell ref="BIA169:BIA170"/>
    <mergeCell ref="BII169:BII170"/>
    <mergeCell ref="BIQ169:BIQ170"/>
    <mergeCell ref="BIY169:BIY170"/>
    <mergeCell ref="BSM169:BSM170"/>
    <mergeCell ref="BSU169:BSU170"/>
    <mergeCell ref="BTC169:BTC170"/>
    <mergeCell ref="BTK169:BTK170"/>
    <mergeCell ref="BTS169:BTS170"/>
    <mergeCell ref="BQY169:BQY170"/>
    <mergeCell ref="BRG169:BRG170"/>
    <mergeCell ref="BRO169:BRO170"/>
    <mergeCell ref="BRW169:BRW170"/>
    <mergeCell ref="BSE169:BSE170"/>
    <mergeCell ref="BPK169:BPK170"/>
    <mergeCell ref="BPS169:BPS170"/>
    <mergeCell ref="BQA169:BQA170"/>
    <mergeCell ref="BQI169:BQI170"/>
    <mergeCell ref="BQQ169:BQQ170"/>
    <mergeCell ref="BNW169:BNW170"/>
    <mergeCell ref="BOE169:BOE170"/>
    <mergeCell ref="BOM169:BOM170"/>
    <mergeCell ref="BOU169:BOU170"/>
    <mergeCell ref="BPC169:BPC170"/>
    <mergeCell ref="BYQ169:BYQ170"/>
    <mergeCell ref="BYY169:BYY170"/>
    <mergeCell ref="BZG169:BZG170"/>
    <mergeCell ref="BZO169:BZO170"/>
    <mergeCell ref="BZW169:BZW170"/>
    <mergeCell ref="BXC169:BXC170"/>
    <mergeCell ref="BXK169:BXK170"/>
    <mergeCell ref="BXS169:BXS170"/>
    <mergeCell ref="BYA169:BYA170"/>
    <mergeCell ref="BYI169:BYI170"/>
    <mergeCell ref="BVO169:BVO170"/>
    <mergeCell ref="BVW169:BVW170"/>
    <mergeCell ref="BWE169:BWE170"/>
    <mergeCell ref="BWM169:BWM170"/>
    <mergeCell ref="BWU169:BWU170"/>
    <mergeCell ref="BUA169:BUA170"/>
    <mergeCell ref="BUI169:BUI170"/>
    <mergeCell ref="BUQ169:BUQ170"/>
    <mergeCell ref="BUY169:BUY170"/>
    <mergeCell ref="BVG169:BVG170"/>
    <mergeCell ref="CEU169:CEU170"/>
    <mergeCell ref="CFC169:CFC170"/>
    <mergeCell ref="CFK169:CFK170"/>
    <mergeCell ref="CFS169:CFS170"/>
    <mergeCell ref="CGA169:CGA170"/>
    <mergeCell ref="CDG169:CDG170"/>
    <mergeCell ref="CDO169:CDO170"/>
    <mergeCell ref="CDW169:CDW170"/>
    <mergeCell ref="CEE169:CEE170"/>
    <mergeCell ref="CEM169:CEM170"/>
    <mergeCell ref="CBS169:CBS170"/>
    <mergeCell ref="CCA169:CCA170"/>
    <mergeCell ref="CCI169:CCI170"/>
    <mergeCell ref="CCQ169:CCQ170"/>
    <mergeCell ref="CCY169:CCY170"/>
    <mergeCell ref="CAE169:CAE170"/>
    <mergeCell ref="CAM169:CAM170"/>
    <mergeCell ref="CAU169:CAU170"/>
    <mergeCell ref="CBC169:CBC170"/>
    <mergeCell ref="CBK169:CBK170"/>
    <mergeCell ref="CKY169:CKY170"/>
    <mergeCell ref="CLG169:CLG170"/>
    <mergeCell ref="CLO169:CLO170"/>
    <mergeCell ref="CLW169:CLW170"/>
    <mergeCell ref="CME169:CME170"/>
    <mergeCell ref="CJK169:CJK170"/>
    <mergeCell ref="CJS169:CJS170"/>
    <mergeCell ref="CKA169:CKA170"/>
    <mergeCell ref="CKI169:CKI170"/>
    <mergeCell ref="CKQ169:CKQ170"/>
    <mergeCell ref="CHW169:CHW170"/>
    <mergeCell ref="CIE169:CIE170"/>
    <mergeCell ref="CIM169:CIM170"/>
    <mergeCell ref="CIU169:CIU170"/>
    <mergeCell ref="CJC169:CJC170"/>
    <mergeCell ref="CGI169:CGI170"/>
    <mergeCell ref="CGQ169:CGQ170"/>
    <mergeCell ref="CGY169:CGY170"/>
    <mergeCell ref="CHG169:CHG170"/>
    <mergeCell ref="CHO169:CHO170"/>
    <mergeCell ref="CRC169:CRC170"/>
    <mergeCell ref="CRK169:CRK170"/>
    <mergeCell ref="CRS169:CRS170"/>
    <mergeCell ref="CSA169:CSA170"/>
    <mergeCell ref="CSI169:CSI170"/>
    <mergeCell ref="CPO169:CPO170"/>
    <mergeCell ref="CPW169:CPW170"/>
    <mergeCell ref="CQE169:CQE170"/>
    <mergeCell ref="CQM169:CQM170"/>
    <mergeCell ref="CQU169:CQU170"/>
    <mergeCell ref="COA169:COA170"/>
    <mergeCell ref="COI169:COI170"/>
    <mergeCell ref="COQ169:COQ170"/>
    <mergeCell ref="COY169:COY170"/>
    <mergeCell ref="CPG169:CPG170"/>
    <mergeCell ref="CMM169:CMM170"/>
    <mergeCell ref="CMU169:CMU170"/>
    <mergeCell ref="CNC169:CNC170"/>
    <mergeCell ref="CNK169:CNK170"/>
    <mergeCell ref="CNS169:CNS170"/>
    <mergeCell ref="CXG169:CXG170"/>
    <mergeCell ref="CXO169:CXO170"/>
    <mergeCell ref="CXW169:CXW170"/>
    <mergeCell ref="CYE169:CYE170"/>
    <mergeCell ref="CYM169:CYM170"/>
    <mergeCell ref="CVS169:CVS170"/>
    <mergeCell ref="CWA169:CWA170"/>
    <mergeCell ref="CWI169:CWI170"/>
    <mergeCell ref="CWQ169:CWQ170"/>
    <mergeCell ref="CWY169:CWY170"/>
    <mergeCell ref="CUE169:CUE170"/>
    <mergeCell ref="CUM169:CUM170"/>
    <mergeCell ref="CUU169:CUU170"/>
    <mergeCell ref="CVC169:CVC170"/>
    <mergeCell ref="CVK169:CVK170"/>
    <mergeCell ref="CSQ169:CSQ170"/>
    <mergeCell ref="CSY169:CSY170"/>
    <mergeCell ref="CTG169:CTG170"/>
    <mergeCell ref="CTO169:CTO170"/>
    <mergeCell ref="CTW169:CTW170"/>
    <mergeCell ref="DDK169:DDK170"/>
    <mergeCell ref="DDS169:DDS170"/>
    <mergeCell ref="DEA169:DEA170"/>
    <mergeCell ref="DEI169:DEI170"/>
    <mergeCell ref="DEQ169:DEQ170"/>
    <mergeCell ref="DBW169:DBW170"/>
    <mergeCell ref="DCE169:DCE170"/>
    <mergeCell ref="DCM169:DCM170"/>
    <mergeCell ref="DCU169:DCU170"/>
    <mergeCell ref="DDC169:DDC170"/>
    <mergeCell ref="DAI169:DAI170"/>
    <mergeCell ref="DAQ169:DAQ170"/>
    <mergeCell ref="DAY169:DAY170"/>
    <mergeCell ref="DBG169:DBG170"/>
    <mergeCell ref="DBO169:DBO170"/>
    <mergeCell ref="CYU169:CYU170"/>
    <mergeCell ref="CZC169:CZC170"/>
    <mergeCell ref="CZK169:CZK170"/>
    <mergeCell ref="CZS169:CZS170"/>
    <mergeCell ref="DAA169:DAA170"/>
    <mergeCell ref="DJO169:DJO170"/>
    <mergeCell ref="DJW169:DJW170"/>
    <mergeCell ref="DKE169:DKE170"/>
    <mergeCell ref="DKM169:DKM170"/>
    <mergeCell ref="DKU169:DKU170"/>
    <mergeCell ref="DIA169:DIA170"/>
    <mergeCell ref="DII169:DII170"/>
    <mergeCell ref="DIQ169:DIQ170"/>
    <mergeCell ref="DIY169:DIY170"/>
    <mergeCell ref="DJG169:DJG170"/>
    <mergeCell ref="DGM169:DGM170"/>
    <mergeCell ref="DGU169:DGU170"/>
    <mergeCell ref="DHC169:DHC170"/>
    <mergeCell ref="DHK169:DHK170"/>
    <mergeCell ref="DHS169:DHS170"/>
    <mergeCell ref="DEY169:DEY170"/>
    <mergeCell ref="DFG169:DFG170"/>
    <mergeCell ref="DFO169:DFO170"/>
    <mergeCell ref="DFW169:DFW170"/>
    <mergeCell ref="DGE169:DGE170"/>
    <mergeCell ref="DPS169:DPS170"/>
    <mergeCell ref="DQA169:DQA170"/>
    <mergeCell ref="DQI169:DQI170"/>
    <mergeCell ref="DQQ169:DQQ170"/>
    <mergeCell ref="DQY169:DQY170"/>
    <mergeCell ref="DOE169:DOE170"/>
    <mergeCell ref="DOM169:DOM170"/>
    <mergeCell ref="DOU169:DOU170"/>
    <mergeCell ref="DPC169:DPC170"/>
    <mergeCell ref="DPK169:DPK170"/>
    <mergeCell ref="DMQ169:DMQ170"/>
    <mergeCell ref="DMY169:DMY170"/>
    <mergeCell ref="DNG169:DNG170"/>
    <mergeCell ref="DNO169:DNO170"/>
    <mergeCell ref="DNW169:DNW170"/>
    <mergeCell ref="DLC169:DLC170"/>
    <mergeCell ref="DLK169:DLK170"/>
    <mergeCell ref="DLS169:DLS170"/>
    <mergeCell ref="DMA169:DMA170"/>
    <mergeCell ref="DMI169:DMI170"/>
    <mergeCell ref="DVW169:DVW170"/>
    <mergeCell ref="DWE169:DWE170"/>
    <mergeCell ref="DWM169:DWM170"/>
    <mergeCell ref="DWU169:DWU170"/>
    <mergeCell ref="DXC169:DXC170"/>
    <mergeCell ref="DUI169:DUI170"/>
    <mergeCell ref="DUQ169:DUQ170"/>
    <mergeCell ref="DUY169:DUY170"/>
    <mergeCell ref="DVG169:DVG170"/>
    <mergeCell ref="DVO169:DVO170"/>
    <mergeCell ref="DSU169:DSU170"/>
    <mergeCell ref="DTC169:DTC170"/>
    <mergeCell ref="DTK169:DTK170"/>
    <mergeCell ref="DTS169:DTS170"/>
    <mergeCell ref="DUA169:DUA170"/>
    <mergeCell ref="DRG169:DRG170"/>
    <mergeCell ref="DRO169:DRO170"/>
    <mergeCell ref="DRW169:DRW170"/>
    <mergeCell ref="DSE169:DSE170"/>
    <mergeCell ref="DSM169:DSM170"/>
    <mergeCell ref="ECA169:ECA170"/>
    <mergeCell ref="ECI169:ECI170"/>
    <mergeCell ref="ECQ169:ECQ170"/>
    <mergeCell ref="ECY169:ECY170"/>
    <mergeCell ref="EDG169:EDG170"/>
    <mergeCell ref="EAM169:EAM170"/>
    <mergeCell ref="EAU169:EAU170"/>
    <mergeCell ref="EBC169:EBC170"/>
    <mergeCell ref="EBK169:EBK170"/>
    <mergeCell ref="EBS169:EBS170"/>
    <mergeCell ref="DYY169:DYY170"/>
    <mergeCell ref="DZG169:DZG170"/>
    <mergeCell ref="DZO169:DZO170"/>
    <mergeCell ref="DZW169:DZW170"/>
    <mergeCell ref="EAE169:EAE170"/>
    <mergeCell ref="DXK169:DXK170"/>
    <mergeCell ref="DXS169:DXS170"/>
    <mergeCell ref="DYA169:DYA170"/>
    <mergeCell ref="DYI169:DYI170"/>
    <mergeCell ref="DYQ169:DYQ170"/>
    <mergeCell ref="EIE169:EIE170"/>
    <mergeCell ref="EIM169:EIM170"/>
    <mergeCell ref="EIU169:EIU170"/>
    <mergeCell ref="EJC169:EJC170"/>
    <mergeCell ref="EJK169:EJK170"/>
    <mergeCell ref="EGQ169:EGQ170"/>
    <mergeCell ref="EGY169:EGY170"/>
    <mergeCell ref="EHG169:EHG170"/>
    <mergeCell ref="EHO169:EHO170"/>
    <mergeCell ref="EHW169:EHW170"/>
    <mergeCell ref="EFC169:EFC170"/>
    <mergeCell ref="EFK169:EFK170"/>
    <mergeCell ref="EFS169:EFS170"/>
    <mergeCell ref="EGA169:EGA170"/>
    <mergeCell ref="EGI169:EGI170"/>
    <mergeCell ref="EDO169:EDO170"/>
    <mergeCell ref="EDW169:EDW170"/>
    <mergeCell ref="EEE169:EEE170"/>
    <mergeCell ref="EEM169:EEM170"/>
    <mergeCell ref="EEU169:EEU170"/>
    <mergeCell ref="EOI169:EOI170"/>
    <mergeCell ref="EOQ169:EOQ170"/>
    <mergeCell ref="EOY169:EOY170"/>
    <mergeCell ref="EPG169:EPG170"/>
    <mergeCell ref="EPO169:EPO170"/>
    <mergeCell ref="EMU169:EMU170"/>
    <mergeCell ref="ENC169:ENC170"/>
    <mergeCell ref="ENK169:ENK170"/>
    <mergeCell ref="ENS169:ENS170"/>
    <mergeCell ref="EOA169:EOA170"/>
    <mergeCell ref="ELG169:ELG170"/>
    <mergeCell ref="ELO169:ELO170"/>
    <mergeCell ref="ELW169:ELW170"/>
    <mergeCell ref="EME169:EME170"/>
    <mergeCell ref="EMM169:EMM170"/>
    <mergeCell ref="EJS169:EJS170"/>
    <mergeCell ref="EKA169:EKA170"/>
    <mergeCell ref="EKI169:EKI170"/>
    <mergeCell ref="EKQ169:EKQ170"/>
    <mergeCell ref="EKY169:EKY170"/>
    <mergeCell ref="EUM169:EUM170"/>
    <mergeCell ref="EUU169:EUU170"/>
    <mergeCell ref="EVC169:EVC170"/>
    <mergeCell ref="EVK169:EVK170"/>
    <mergeCell ref="EVS169:EVS170"/>
    <mergeCell ref="ESY169:ESY170"/>
    <mergeCell ref="ETG169:ETG170"/>
    <mergeCell ref="ETO169:ETO170"/>
    <mergeCell ref="ETW169:ETW170"/>
    <mergeCell ref="EUE169:EUE170"/>
    <mergeCell ref="ERK169:ERK170"/>
    <mergeCell ref="ERS169:ERS170"/>
    <mergeCell ref="ESA169:ESA170"/>
    <mergeCell ref="ESI169:ESI170"/>
    <mergeCell ref="ESQ169:ESQ170"/>
    <mergeCell ref="EPW169:EPW170"/>
    <mergeCell ref="EQE169:EQE170"/>
    <mergeCell ref="EQM169:EQM170"/>
    <mergeCell ref="EQU169:EQU170"/>
    <mergeCell ref="ERC169:ERC170"/>
    <mergeCell ref="FAQ169:FAQ170"/>
    <mergeCell ref="FAY169:FAY170"/>
    <mergeCell ref="FBG169:FBG170"/>
    <mergeCell ref="FBO169:FBO170"/>
    <mergeCell ref="FBW169:FBW170"/>
    <mergeCell ref="EZC169:EZC170"/>
    <mergeCell ref="EZK169:EZK170"/>
    <mergeCell ref="EZS169:EZS170"/>
    <mergeCell ref="FAA169:FAA170"/>
    <mergeCell ref="FAI169:FAI170"/>
    <mergeCell ref="EXO169:EXO170"/>
    <mergeCell ref="EXW169:EXW170"/>
    <mergeCell ref="EYE169:EYE170"/>
    <mergeCell ref="EYM169:EYM170"/>
    <mergeCell ref="EYU169:EYU170"/>
    <mergeCell ref="EWA169:EWA170"/>
    <mergeCell ref="EWI169:EWI170"/>
    <mergeCell ref="EWQ169:EWQ170"/>
    <mergeCell ref="EWY169:EWY170"/>
    <mergeCell ref="EXG169:EXG170"/>
    <mergeCell ref="FGU169:FGU170"/>
    <mergeCell ref="FHC169:FHC170"/>
    <mergeCell ref="FHK169:FHK170"/>
    <mergeCell ref="FHS169:FHS170"/>
    <mergeCell ref="FIA169:FIA170"/>
    <mergeCell ref="FFG169:FFG170"/>
    <mergeCell ref="FFO169:FFO170"/>
    <mergeCell ref="FFW169:FFW170"/>
    <mergeCell ref="FGE169:FGE170"/>
    <mergeCell ref="FGM169:FGM170"/>
    <mergeCell ref="FDS169:FDS170"/>
    <mergeCell ref="FEA169:FEA170"/>
    <mergeCell ref="FEI169:FEI170"/>
    <mergeCell ref="FEQ169:FEQ170"/>
    <mergeCell ref="FEY169:FEY170"/>
    <mergeCell ref="FCE169:FCE170"/>
    <mergeCell ref="FCM169:FCM170"/>
    <mergeCell ref="FCU169:FCU170"/>
    <mergeCell ref="FDC169:FDC170"/>
    <mergeCell ref="FDK169:FDK170"/>
    <mergeCell ref="FMY169:FMY170"/>
    <mergeCell ref="FNG169:FNG170"/>
    <mergeCell ref="FNO169:FNO170"/>
    <mergeCell ref="FNW169:FNW170"/>
    <mergeCell ref="FOE169:FOE170"/>
    <mergeCell ref="FLK169:FLK170"/>
    <mergeCell ref="FLS169:FLS170"/>
    <mergeCell ref="FMA169:FMA170"/>
    <mergeCell ref="FMI169:FMI170"/>
    <mergeCell ref="FMQ169:FMQ170"/>
    <mergeCell ref="FJW169:FJW170"/>
    <mergeCell ref="FKE169:FKE170"/>
    <mergeCell ref="FKM169:FKM170"/>
    <mergeCell ref="FKU169:FKU170"/>
    <mergeCell ref="FLC169:FLC170"/>
    <mergeCell ref="FII169:FII170"/>
    <mergeCell ref="FIQ169:FIQ170"/>
    <mergeCell ref="FIY169:FIY170"/>
    <mergeCell ref="FJG169:FJG170"/>
    <mergeCell ref="FJO169:FJO170"/>
    <mergeCell ref="FTC169:FTC170"/>
    <mergeCell ref="FTK169:FTK170"/>
    <mergeCell ref="FTS169:FTS170"/>
    <mergeCell ref="FUA169:FUA170"/>
    <mergeCell ref="FUI169:FUI170"/>
    <mergeCell ref="FRO169:FRO170"/>
    <mergeCell ref="FRW169:FRW170"/>
    <mergeCell ref="FSE169:FSE170"/>
    <mergeCell ref="FSM169:FSM170"/>
    <mergeCell ref="FSU169:FSU170"/>
    <mergeCell ref="FQA169:FQA170"/>
    <mergeCell ref="FQI169:FQI170"/>
    <mergeCell ref="FQQ169:FQQ170"/>
    <mergeCell ref="FQY169:FQY170"/>
    <mergeCell ref="FRG169:FRG170"/>
    <mergeCell ref="FOM169:FOM170"/>
    <mergeCell ref="FOU169:FOU170"/>
    <mergeCell ref="FPC169:FPC170"/>
    <mergeCell ref="FPK169:FPK170"/>
    <mergeCell ref="FPS169:FPS170"/>
    <mergeCell ref="FZG169:FZG170"/>
    <mergeCell ref="FZO169:FZO170"/>
    <mergeCell ref="FZW169:FZW170"/>
    <mergeCell ref="GAE169:GAE170"/>
    <mergeCell ref="GAM169:GAM170"/>
    <mergeCell ref="FXS169:FXS170"/>
    <mergeCell ref="FYA169:FYA170"/>
    <mergeCell ref="FYI169:FYI170"/>
    <mergeCell ref="FYQ169:FYQ170"/>
    <mergeCell ref="FYY169:FYY170"/>
    <mergeCell ref="FWE169:FWE170"/>
    <mergeCell ref="FWM169:FWM170"/>
    <mergeCell ref="FWU169:FWU170"/>
    <mergeCell ref="FXC169:FXC170"/>
    <mergeCell ref="FXK169:FXK170"/>
    <mergeCell ref="FUQ169:FUQ170"/>
    <mergeCell ref="FUY169:FUY170"/>
    <mergeCell ref="FVG169:FVG170"/>
    <mergeCell ref="FVO169:FVO170"/>
    <mergeCell ref="FVW169:FVW170"/>
    <mergeCell ref="GFK169:GFK170"/>
    <mergeCell ref="GFS169:GFS170"/>
    <mergeCell ref="GGA169:GGA170"/>
    <mergeCell ref="GGI169:GGI170"/>
    <mergeCell ref="GGQ169:GGQ170"/>
    <mergeCell ref="GDW169:GDW170"/>
    <mergeCell ref="GEE169:GEE170"/>
    <mergeCell ref="GEM169:GEM170"/>
    <mergeCell ref="GEU169:GEU170"/>
    <mergeCell ref="GFC169:GFC170"/>
    <mergeCell ref="GCI169:GCI170"/>
    <mergeCell ref="GCQ169:GCQ170"/>
    <mergeCell ref="GCY169:GCY170"/>
    <mergeCell ref="GDG169:GDG170"/>
    <mergeCell ref="GDO169:GDO170"/>
    <mergeCell ref="GAU169:GAU170"/>
    <mergeCell ref="GBC169:GBC170"/>
    <mergeCell ref="GBK169:GBK170"/>
    <mergeCell ref="GBS169:GBS170"/>
    <mergeCell ref="GCA169:GCA170"/>
    <mergeCell ref="GLO169:GLO170"/>
    <mergeCell ref="GLW169:GLW170"/>
    <mergeCell ref="GME169:GME170"/>
    <mergeCell ref="GMM169:GMM170"/>
    <mergeCell ref="GMU169:GMU170"/>
    <mergeCell ref="GKA169:GKA170"/>
    <mergeCell ref="GKI169:GKI170"/>
    <mergeCell ref="GKQ169:GKQ170"/>
    <mergeCell ref="GKY169:GKY170"/>
    <mergeCell ref="GLG169:GLG170"/>
    <mergeCell ref="GIM169:GIM170"/>
    <mergeCell ref="GIU169:GIU170"/>
    <mergeCell ref="GJC169:GJC170"/>
    <mergeCell ref="GJK169:GJK170"/>
    <mergeCell ref="GJS169:GJS170"/>
    <mergeCell ref="GGY169:GGY170"/>
    <mergeCell ref="GHG169:GHG170"/>
    <mergeCell ref="GHO169:GHO170"/>
    <mergeCell ref="GHW169:GHW170"/>
    <mergeCell ref="GIE169:GIE170"/>
    <mergeCell ref="GRS169:GRS170"/>
    <mergeCell ref="GSA169:GSA170"/>
    <mergeCell ref="GSI169:GSI170"/>
    <mergeCell ref="GSQ169:GSQ170"/>
    <mergeCell ref="GSY169:GSY170"/>
    <mergeCell ref="GQE169:GQE170"/>
    <mergeCell ref="GQM169:GQM170"/>
    <mergeCell ref="GQU169:GQU170"/>
    <mergeCell ref="GRC169:GRC170"/>
    <mergeCell ref="GRK169:GRK170"/>
    <mergeCell ref="GOQ169:GOQ170"/>
    <mergeCell ref="GOY169:GOY170"/>
    <mergeCell ref="GPG169:GPG170"/>
    <mergeCell ref="GPO169:GPO170"/>
    <mergeCell ref="GPW169:GPW170"/>
    <mergeCell ref="GNC169:GNC170"/>
    <mergeCell ref="GNK169:GNK170"/>
    <mergeCell ref="GNS169:GNS170"/>
    <mergeCell ref="GOA169:GOA170"/>
    <mergeCell ref="GOI169:GOI170"/>
    <mergeCell ref="GXW169:GXW170"/>
    <mergeCell ref="GYE169:GYE170"/>
    <mergeCell ref="GYM169:GYM170"/>
    <mergeCell ref="GYU169:GYU170"/>
    <mergeCell ref="GZC169:GZC170"/>
    <mergeCell ref="GWI169:GWI170"/>
    <mergeCell ref="GWQ169:GWQ170"/>
    <mergeCell ref="GWY169:GWY170"/>
    <mergeCell ref="GXG169:GXG170"/>
    <mergeCell ref="GXO169:GXO170"/>
    <mergeCell ref="GUU169:GUU170"/>
    <mergeCell ref="GVC169:GVC170"/>
    <mergeCell ref="GVK169:GVK170"/>
    <mergeCell ref="GVS169:GVS170"/>
    <mergeCell ref="GWA169:GWA170"/>
    <mergeCell ref="GTG169:GTG170"/>
    <mergeCell ref="GTO169:GTO170"/>
    <mergeCell ref="GTW169:GTW170"/>
    <mergeCell ref="GUE169:GUE170"/>
    <mergeCell ref="GUM169:GUM170"/>
    <mergeCell ref="HEA169:HEA170"/>
    <mergeCell ref="HEI169:HEI170"/>
    <mergeCell ref="HEQ169:HEQ170"/>
    <mergeCell ref="HEY169:HEY170"/>
    <mergeCell ref="HFG169:HFG170"/>
    <mergeCell ref="HCM169:HCM170"/>
    <mergeCell ref="HCU169:HCU170"/>
    <mergeCell ref="HDC169:HDC170"/>
    <mergeCell ref="HDK169:HDK170"/>
    <mergeCell ref="HDS169:HDS170"/>
    <mergeCell ref="HAY169:HAY170"/>
    <mergeCell ref="HBG169:HBG170"/>
    <mergeCell ref="HBO169:HBO170"/>
    <mergeCell ref="HBW169:HBW170"/>
    <mergeCell ref="HCE169:HCE170"/>
    <mergeCell ref="GZK169:GZK170"/>
    <mergeCell ref="GZS169:GZS170"/>
    <mergeCell ref="HAA169:HAA170"/>
    <mergeCell ref="HAI169:HAI170"/>
    <mergeCell ref="HAQ169:HAQ170"/>
    <mergeCell ref="HKE169:HKE170"/>
    <mergeCell ref="HKM169:HKM170"/>
    <mergeCell ref="HKU169:HKU170"/>
    <mergeCell ref="HLC169:HLC170"/>
    <mergeCell ref="HLK169:HLK170"/>
    <mergeCell ref="HIQ169:HIQ170"/>
    <mergeCell ref="HIY169:HIY170"/>
    <mergeCell ref="HJG169:HJG170"/>
    <mergeCell ref="HJO169:HJO170"/>
    <mergeCell ref="HJW169:HJW170"/>
    <mergeCell ref="HHC169:HHC170"/>
    <mergeCell ref="HHK169:HHK170"/>
    <mergeCell ref="HHS169:HHS170"/>
    <mergeCell ref="HIA169:HIA170"/>
    <mergeCell ref="HII169:HII170"/>
    <mergeCell ref="HFO169:HFO170"/>
    <mergeCell ref="HFW169:HFW170"/>
    <mergeCell ref="HGE169:HGE170"/>
    <mergeCell ref="HGM169:HGM170"/>
    <mergeCell ref="HGU169:HGU170"/>
    <mergeCell ref="HQI169:HQI170"/>
    <mergeCell ref="HQQ169:HQQ170"/>
    <mergeCell ref="HQY169:HQY170"/>
    <mergeCell ref="HRG169:HRG170"/>
    <mergeCell ref="HRO169:HRO170"/>
    <mergeCell ref="HOU169:HOU170"/>
    <mergeCell ref="HPC169:HPC170"/>
    <mergeCell ref="HPK169:HPK170"/>
    <mergeCell ref="HPS169:HPS170"/>
    <mergeCell ref="HQA169:HQA170"/>
    <mergeCell ref="HNG169:HNG170"/>
    <mergeCell ref="HNO169:HNO170"/>
    <mergeCell ref="HNW169:HNW170"/>
    <mergeCell ref="HOE169:HOE170"/>
    <mergeCell ref="HOM169:HOM170"/>
    <mergeCell ref="HLS169:HLS170"/>
    <mergeCell ref="HMA169:HMA170"/>
    <mergeCell ref="HMI169:HMI170"/>
    <mergeCell ref="HMQ169:HMQ170"/>
    <mergeCell ref="HMY169:HMY170"/>
    <mergeCell ref="HWM169:HWM170"/>
    <mergeCell ref="HWU169:HWU170"/>
    <mergeCell ref="HXC169:HXC170"/>
    <mergeCell ref="HXK169:HXK170"/>
    <mergeCell ref="HXS169:HXS170"/>
    <mergeCell ref="HUY169:HUY170"/>
    <mergeCell ref="HVG169:HVG170"/>
    <mergeCell ref="HVO169:HVO170"/>
    <mergeCell ref="HVW169:HVW170"/>
    <mergeCell ref="HWE169:HWE170"/>
    <mergeCell ref="HTK169:HTK170"/>
    <mergeCell ref="HTS169:HTS170"/>
    <mergeCell ref="HUA169:HUA170"/>
    <mergeCell ref="HUI169:HUI170"/>
    <mergeCell ref="HUQ169:HUQ170"/>
    <mergeCell ref="HRW169:HRW170"/>
    <mergeCell ref="HSE169:HSE170"/>
    <mergeCell ref="HSM169:HSM170"/>
    <mergeCell ref="HSU169:HSU170"/>
    <mergeCell ref="HTC169:HTC170"/>
    <mergeCell ref="ICQ169:ICQ170"/>
    <mergeCell ref="ICY169:ICY170"/>
    <mergeCell ref="IDG169:IDG170"/>
    <mergeCell ref="IDO169:IDO170"/>
    <mergeCell ref="IDW169:IDW170"/>
    <mergeCell ref="IBC169:IBC170"/>
    <mergeCell ref="IBK169:IBK170"/>
    <mergeCell ref="IBS169:IBS170"/>
    <mergeCell ref="ICA169:ICA170"/>
    <mergeCell ref="ICI169:ICI170"/>
    <mergeCell ref="HZO169:HZO170"/>
    <mergeCell ref="HZW169:HZW170"/>
    <mergeCell ref="IAE169:IAE170"/>
    <mergeCell ref="IAM169:IAM170"/>
    <mergeCell ref="IAU169:IAU170"/>
    <mergeCell ref="HYA169:HYA170"/>
    <mergeCell ref="HYI169:HYI170"/>
    <mergeCell ref="HYQ169:HYQ170"/>
    <mergeCell ref="HYY169:HYY170"/>
    <mergeCell ref="HZG169:HZG170"/>
    <mergeCell ref="IIU169:IIU170"/>
    <mergeCell ref="IJC169:IJC170"/>
    <mergeCell ref="IJK169:IJK170"/>
    <mergeCell ref="IJS169:IJS170"/>
    <mergeCell ref="IKA169:IKA170"/>
    <mergeCell ref="IHG169:IHG170"/>
    <mergeCell ref="IHO169:IHO170"/>
    <mergeCell ref="IHW169:IHW170"/>
    <mergeCell ref="IIE169:IIE170"/>
    <mergeCell ref="IIM169:IIM170"/>
    <mergeCell ref="IFS169:IFS170"/>
    <mergeCell ref="IGA169:IGA170"/>
    <mergeCell ref="IGI169:IGI170"/>
    <mergeCell ref="IGQ169:IGQ170"/>
    <mergeCell ref="IGY169:IGY170"/>
    <mergeCell ref="IEE169:IEE170"/>
    <mergeCell ref="IEM169:IEM170"/>
    <mergeCell ref="IEU169:IEU170"/>
    <mergeCell ref="IFC169:IFC170"/>
    <mergeCell ref="IFK169:IFK170"/>
    <mergeCell ref="IOY169:IOY170"/>
    <mergeCell ref="IPG169:IPG170"/>
    <mergeCell ref="IPO169:IPO170"/>
    <mergeCell ref="IPW169:IPW170"/>
    <mergeCell ref="IQE169:IQE170"/>
    <mergeCell ref="INK169:INK170"/>
    <mergeCell ref="INS169:INS170"/>
    <mergeCell ref="IOA169:IOA170"/>
    <mergeCell ref="IOI169:IOI170"/>
    <mergeCell ref="IOQ169:IOQ170"/>
    <mergeCell ref="ILW169:ILW170"/>
    <mergeCell ref="IME169:IME170"/>
    <mergeCell ref="IMM169:IMM170"/>
    <mergeCell ref="IMU169:IMU170"/>
    <mergeCell ref="INC169:INC170"/>
    <mergeCell ref="IKI169:IKI170"/>
    <mergeCell ref="IKQ169:IKQ170"/>
    <mergeCell ref="IKY169:IKY170"/>
    <mergeCell ref="ILG169:ILG170"/>
    <mergeCell ref="ILO169:ILO170"/>
    <mergeCell ref="IVC169:IVC170"/>
    <mergeCell ref="IVK169:IVK170"/>
    <mergeCell ref="IVS169:IVS170"/>
    <mergeCell ref="IWA169:IWA170"/>
    <mergeCell ref="IWI169:IWI170"/>
    <mergeCell ref="ITO169:ITO170"/>
    <mergeCell ref="ITW169:ITW170"/>
    <mergeCell ref="IUE169:IUE170"/>
    <mergeCell ref="IUM169:IUM170"/>
    <mergeCell ref="IUU169:IUU170"/>
    <mergeCell ref="ISA169:ISA170"/>
    <mergeCell ref="ISI169:ISI170"/>
    <mergeCell ref="ISQ169:ISQ170"/>
    <mergeCell ref="ISY169:ISY170"/>
    <mergeCell ref="ITG169:ITG170"/>
    <mergeCell ref="IQM169:IQM170"/>
    <mergeCell ref="IQU169:IQU170"/>
    <mergeCell ref="IRC169:IRC170"/>
    <mergeCell ref="IRK169:IRK170"/>
    <mergeCell ref="IRS169:IRS170"/>
    <mergeCell ref="JBG169:JBG170"/>
    <mergeCell ref="JBO169:JBO170"/>
    <mergeCell ref="JBW169:JBW170"/>
    <mergeCell ref="JCE169:JCE170"/>
    <mergeCell ref="JCM169:JCM170"/>
    <mergeCell ref="IZS169:IZS170"/>
    <mergeCell ref="JAA169:JAA170"/>
    <mergeCell ref="JAI169:JAI170"/>
    <mergeCell ref="JAQ169:JAQ170"/>
    <mergeCell ref="JAY169:JAY170"/>
    <mergeCell ref="IYE169:IYE170"/>
    <mergeCell ref="IYM169:IYM170"/>
    <mergeCell ref="IYU169:IYU170"/>
    <mergeCell ref="IZC169:IZC170"/>
    <mergeCell ref="IZK169:IZK170"/>
    <mergeCell ref="IWQ169:IWQ170"/>
    <mergeCell ref="IWY169:IWY170"/>
    <mergeCell ref="IXG169:IXG170"/>
    <mergeCell ref="IXO169:IXO170"/>
    <mergeCell ref="IXW169:IXW170"/>
    <mergeCell ref="JHK169:JHK170"/>
    <mergeCell ref="JHS169:JHS170"/>
    <mergeCell ref="JIA169:JIA170"/>
    <mergeCell ref="JII169:JII170"/>
    <mergeCell ref="JIQ169:JIQ170"/>
    <mergeCell ref="JFW169:JFW170"/>
    <mergeCell ref="JGE169:JGE170"/>
    <mergeCell ref="JGM169:JGM170"/>
    <mergeCell ref="JGU169:JGU170"/>
    <mergeCell ref="JHC169:JHC170"/>
    <mergeCell ref="JEI169:JEI170"/>
    <mergeCell ref="JEQ169:JEQ170"/>
    <mergeCell ref="JEY169:JEY170"/>
    <mergeCell ref="JFG169:JFG170"/>
    <mergeCell ref="JFO169:JFO170"/>
    <mergeCell ref="JCU169:JCU170"/>
    <mergeCell ref="JDC169:JDC170"/>
    <mergeCell ref="JDK169:JDK170"/>
    <mergeCell ref="JDS169:JDS170"/>
    <mergeCell ref="JEA169:JEA170"/>
    <mergeCell ref="JNO169:JNO170"/>
    <mergeCell ref="JNW169:JNW170"/>
    <mergeCell ref="JOE169:JOE170"/>
    <mergeCell ref="JOM169:JOM170"/>
    <mergeCell ref="JOU169:JOU170"/>
    <mergeCell ref="JMA169:JMA170"/>
    <mergeCell ref="JMI169:JMI170"/>
    <mergeCell ref="JMQ169:JMQ170"/>
    <mergeCell ref="JMY169:JMY170"/>
    <mergeCell ref="JNG169:JNG170"/>
    <mergeCell ref="JKM169:JKM170"/>
    <mergeCell ref="JKU169:JKU170"/>
    <mergeCell ref="JLC169:JLC170"/>
    <mergeCell ref="JLK169:JLK170"/>
    <mergeCell ref="JLS169:JLS170"/>
    <mergeCell ref="JIY169:JIY170"/>
    <mergeCell ref="JJG169:JJG170"/>
    <mergeCell ref="JJO169:JJO170"/>
    <mergeCell ref="JJW169:JJW170"/>
    <mergeCell ref="JKE169:JKE170"/>
    <mergeCell ref="JTS169:JTS170"/>
    <mergeCell ref="JUA169:JUA170"/>
    <mergeCell ref="JUI169:JUI170"/>
    <mergeCell ref="JUQ169:JUQ170"/>
    <mergeCell ref="JUY169:JUY170"/>
    <mergeCell ref="JSE169:JSE170"/>
    <mergeCell ref="JSM169:JSM170"/>
    <mergeCell ref="JSU169:JSU170"/>
    <mergeCell ref="JTC169:JTC170"/>
    <mergeCell ref="JTK169:JTK170"/>
    <mergeCell ref="JQQ169:JQQ170"/>
    <mergeCell ref="JQY169:JQY170"/>
    <mergeCell ref="JRG169:JRG170"/>
    <mergeCell ref="JRO169:JRO170"/>
    <mergeCell ref="JRW169:JRW170"/>
    <mergeCell ref="JPC169:JPC170"/>
    <mergeCell ref="JPK169:JPK170"/>
    <mergeCell ref="JPS169:JPS170"/>
    <mergeCell ref="JQA169:JQA170"/>
    <mergeCell ref="JQI169:JQI170"/>
    <mergeCell ref="JZW169:JZW170"/>
    <mergeCell ref="KAE169:KAE170"/>
    <mergeCell ref="KAM169:KAM170"/>
    <mergeCell ref="KAU169:KAU170"/>
    <mergeCell ref="KBC169:KBC170"/>
    <mergeCell ref="JYI169:JYI170"/>
    <mergeCell ref="JYQ169:JYQ170"/>
    <mergeCell ref="JYY169:JYY170"/>
    <mergeCell ref="JZG169:JZG170"/>
    <mergeCell ref="JZO169:JZO170"/>
    <mergeCell ref="JWU169:JWU170"/>
    <mergeCell ref="JXC169:JXC170"/>
    <mergeCell ref="JXK169:JXK170"/>
    <mergeCell ref="JXS169:JXS170"/>
    <mergeCell ref="JYA169:JYA170"/>
    <mergeCell ref="JVG169:JVG170"/>
    <mergeCell ref="JVO169:JVO170"/>
    <mergeCell ref="JVW169:JVW170"/>
    <mergeCell ref="JWE169:JWE170"/>
    <mergeCell ref="JWM169:JWM170"/>
    <mergeCell ref="KGA169:KGA170"/>
    <mergeCell ref="KGI169:KGI170"/>
    <mergeCell ref="KGQ169:KGQ170"/>
    <mergeCell ref="KGY169:KGY170"/>
    <mergeCell ref="KHG169:KHG170"/>
    <mergeCell ref="KEM169:KEM170"/>
    <mergeCell ref="KEU169:KEU170"/>
    <mergeCell ref="KFC169:KFC170"/>
    <mergeCell ref="KFK169:KFK170"/>
    <mergeCell ref="KFS169:KFS170"/>
    <mergeCell ref="KCY169:KCY170"/>
    <mergeCell ref="KDG169:KDG170"/>
    <mergeCell ref="KDO169:KDO170"/>
    <mergeCell ref="KDW169:KDW170"/>
    <mergeCell ref="KEE169:KEE170"/>
    <mergeCell ref="KBK169:KBK170"/>
    <mergeCell ref="KBS169:KBS170"/>
    <mergeCell ref="KCA169:KCA170"/>
    <mergeCell ref="KCI169:KCI170"/>
    <mergeCell ref="KCQ169:KCQ170"/>
    <mergeCell ref="KME169:KME170"/>
    <mergeCell ref="KMM169:KMM170"/>
    <mergeCell ref="KMU169:KMU170"/>
    <mergeCell ref="KNC169:KNC170"/>
    <mergeCell ref="KNK169:KNK170"/>
    <mergeCell ref="KKQ169:KKQ170"/>
    <mergeCell ref="KKY169:KKY170"/>
    <mergeCell ref="KLG169:KLG170"/>
    <mergeCell ref="KLO169:KLO170"/>
    <mergeCell ref="KLW169:KLW170"/>
    <mergeCell ref="KJC169:KJC170"/>
    <mergeCell ref="KJK169:KJK170"/>
    <mergeCell ref="KJS169:KJS170"/>
    <mergeCell ref="KKA169:KKA170"/>
    <mergeCell ref="KKI169:KKI170"/>
    <mergeCell ref="KHO169:KHO170"/>
    <mergeCell ref="KHW169:KHW170"/>
    <mergeCell ref="KIE169:KIE170"/>
    <mergeCell ref="KIM169:KIM170"/>
    <mergeCell ref="KIU169:KIU170"/>
    <mergeCell ref="KSI169:KSI170"/>
    <mergeCell ref="KSQ169:KSQ170"/>
    <mergeCell ref="KSY169:KSY170"/>
    <mergeCell ref="KTG169:KTG170"/>
    <mergeCell ref="KTO169:KTO170"/>
    <mergeCell ref="KQU169:KQU170"/>
    <mergeCell ref="KRC169:KRC170"/>
    <mergeCell ref="KRK169:KRK170"/>
    <mergeCell ref="KRS169:KRS170"/>
    <mergeCell ref="KSA169:KSA170"/>
    <mergeCell ref="KPG169:KPG170"/>
    <mergeCell ref="KPO169:KPO170"/>
    <mergeCell ref="KPW169:KPW170"/>
    <mergeCell ref="KQE169:KQE170"/>
    <mergeCell ref="KQM169:KQM170"/>
    <mergeCell ref="KNS169:KNS170"/>
    <mergeCell ref="KOA169:KOA170"/>
    <mergeCell ref="KOI169:KOI170"/>
    <mergeCell ref="KOQ169:KOQ170"/>
    <mergeCell ref="KOY169:KOY170"/>
    <mergeCell ref="KYM169:KYM170"/>
    <mergeCell ref="KYU169:KYU170"/>
    <mergeCell ref="KZC169:KZC170"/>
    <mergeCell ref="KZK169:KZK170"/>
    <mergeCell ref="KZS169:KZS170"/>
    <mergeCell ref="KWY169:KWY170"/>
    <mergeCell ref="KXG169:KXG170"/>
    <mergeCell ref="KXO169:KXO170"/>
    <mergeCell ref="KXW169:KXW170"/>
    <mergeCell ref="KYE169:KYE170"/>
    <mergeCell ref="KVK169:KVK170"/>
    <mergeCell ref="KVS169:KVS170"/>
    <mergeCell ref="KWA169:KWA170"/>
    <mergeCell ref="KWI169:KWI170"/>
    <mergeCell ref="KWQ169:KWQ170"/>
    <mergeCell ref="KTW169:KTW170"/>
    <mergeCell ref="KUE169:KUE170"/>
    <mergeCell ref="KUM169:KUM170"/>
    <mergeCell ref="KUU169:KUU170"/>
    <mergeCell ref="KVC169:KVC170"/>
    <mergeCell ref="LEQ169:LEQ170"/>
    <mergeCell ref="LEY169:LEY170"/>
    <mergeCell ref="LFG169:LFG170"/>
    <mergeCell ref="LFO169:LFO170"/>
    <mergeCell ref="LFW169:LFW170"/>
    <mergeCell ref="LDC169:LDC170"/>
    <mergeCell ref="LDK169:LDK170"/>
    <mergeCell ref="LDS169:LDS170"/>
    <mergeCell ref="LEA169:LEA170"/>
    <mergeCell ref="LEI169:LEI170"/>
    <mergeCell ref="LBO169:LBO170"/>
    <mergeCell ref="LBW169:LBW170"/>
    <mergeCell ref="LCE169:LCE170"/>
    <mergeCell ref="LCM169:LCM170"/>
    <mergeCell ref="LCU169:LCU170"/>
    <mergeCell ref="LAA169:LAA170"/>
    <mergeCell ref="LAI169:LAI170"/>
    <mergeCell ref="LAQ169:LAQ170"/>
    <mergeCell ref="LAY169:LAY170"/>
    <mergeCell ref="LBG169:LBG170"/>
    <mergeCell ref="LKU169:LKU170"/>
    <mergeCell ref="LLC169:LLC170"/>
    <mergeCell ref="LLK169:LLK170"/>
    <mergeCell ref="LLS169:LLS170"/>
    <mergeCell ref="LMA169:LMA170"/>
    <mergeCell ref="LJG169:LJG170"/>
    <mergeCell ref="LJO169:LJO170"/>
    <mergeCell ref="LJW169:LJW170"/>
    <mergeCell ref="LKE169:LKE170"/>
    <mergeCell ref="LKM169:LKM170"/>
    <mergeCell ref="LHS169:LHS170"/>
    <mergeCell ref="LIA169:LIA170"/>
    <mergeCell ref="LII169:LII170"/>
    <mergeCell ref="LIQ169:LIQ170"/>
    <mergeCell ref="LIY169:LIY170"/>
    <mergeCell ref="LGE169:LGE170"/>
    <mergeCell ref="LGM169:LGM170"/>
    <mergeCell ref="LGU169:LGU170"/>
    <mergeCell ref="LHC169:LHC170"/>
    <mergeCell ref="LHK169:LHK170"/>
    <mergeCell ref="LQY169:LQY170"/>
    <mergeCell ref="LRG169:LRG170"/>
    <mergeCell ref="LRO169:LRO170"/>
    <mergeCell ref="LRW169:LRW170"/>
    <mergeCell ref="LSE169:LSE170"/>
    <mergeCell ref="LPK169:LPK170"/>
    <mergeCell ref="LPS169:LPS170"/>
    <mergeCell ref="LQA169:LQA170"/>
    <mergeCell ref="LQI169:LQI170"/>
    <mergeCell ref="LQQ169:LQQ170"/>
    <mergeCell ref="LNW169:LNW170"/>
    <mergeCell ref="LOE169:LOE170"/>
    <mergeCell ref="LOM169:LOM170"/>
    <mergeCell ref="LOU169:LOU170"/>
    <mergeCell ref="LPC169:LPC170"/>
    <mergeCell ref="LMI169:LMI170"/>
    <mergeCell ref="LMQ169:LMQ170"/>
    <mergeCell ref="LMY169:LMY170"/>
    <mergeCell ref="LNG169:LNG170"/>
    <mergeCell ref="LNO169:LNO170"/>
    <mergeCell ref="LXC169:LXC170"/>
    <mergeCell ref="LXK169:LXK170"/>
    <mergeCell ref="LXS169:LXS170"/>
    <mergeCell ref="LYA169:LYA170"/>
    <mergeCell ref="LYI169:LYI170"/>
    <mergeCell ref="LVO169:LVO170"/>
    <mergeCell ref="LVW169:LVW170"/>
    <mergeCell ref="LWE169:LWE170"/>
    <mergeCell ref="LWM169:LWM170"/>
    <mergeCell ref="LWU169:LWU170"/>
    <mergeCell ref="LUA169:LUA170"/>
    <mergeCell ref="LUI169:LUI170"/>
    <mergeCell ref="LUQ169:LUQ170"/>
    <mergeCell ref="LUY169:LUY170"/>
    <mergeCell ref="LVG169:LVG170"/>
    <mergeCell ref="LSM169:LSM170"/>
    <mergeCell ref="LSU169:LSU170"/>
    <mergeCell ref="LTC169:LTC170"/>
    <mergeCell ref="LTK169:LTK170"/>
    <mergeCell ref="LTS169:LTS170"/>
    <mergeCell ref="MDG169:MDG170"/>
    <mergeCell ref="MDO169:MDO170"/>
    <mergeCell ref="MDW169:MDW170"/>
    <mergeCell ref="MEE169:MEE170"/>
    <mergeCell ref="MEM169:MEM170"/>
    <mergeCell ref="MBS169:MBS170"/>
    <mergeCell ref="MCA169:MCA170"/>
    <mergeCell ref="MCI169:MCI170"/>
    <mergeCell ref="MCQ169:MCQ170"/>
    <mergeCell ref="MCY169:MCY170"/>
    <mergeCell ref="MAE169:MAE170"/>
    <mergeCell ref="MAM169:MAM170"/>
    <mergeCell ref="MAU169:MAU170"/>
    <mergeCell ref="MBC169:MBC170"/>
    <mergeCell ref="MBK169:MBK170"/>
    <mergeCell ref="LYQ169:LYQ170"/>
    <mergeCell ref="LYY169:LYY170"/>
    <mergeCell ref="LZG169:LZG170"/>
    <mergeCell ref="LZO169:LZO170"/>
    <mergeCell ref="LZW169:LZW170"/>
    <mergeCell ref="MJK169:MJK170"/>
    <mergeCell ref="MJS169:MJS170"/>
    <mergeCell ref="MKA169:MKA170"/>
    <mergeCell ref="MKI169:MKI170"/>
    <mergeCell ref="MKQ169:MKQ170"/>
    <mergeCell ref="MHW169:MHW170"/>
    <mergeCell ref="MIE169:MIE170"/>
    <mergeCell ref="MIM169:MIM170"/>
    <mergeCell ref="MIU169:MIU170"/>
    <mergeCell ref="MJC169:MJC170"/>
    <mergeCell ref="MGI169:MGI170"/>
    <mergeCell ref="MGQ169:MGQ170"/>
    <mergeCell ref="MGY169:MGY170"/>
    <mergeCell ref="MHG169:MHG170"/>
    <mergeCell ref="MHO169:MHO170"/>
    <mergeCell ref="MEU169:MEU170"/>
    <mergeCell ref="MFC169:MFC170"/>
    <mergeCell ref="MFK169:MFK170"/>
    <mergeCell ref="MFS169:MFS170"/>
    <mergeCell ref="MGA169:MGA170"/>
    <mergeCell ref="MPO169:MPO170"/>
    <mergeCell ref="MPW169:MPW170"/>
    <mergeCell ref="MQE169:MQE170"/>
    <mergeCell ref="MQM169:MQM170"/>
    <mergeCell ref="MQU169:MQU170"/>
    <mergeCell ref="MOA169:MOA170"/>
    <mergeCell ref="MOI169:MOI170"/>
    <mergeCell ref="MOQ169:MOQ170"/>
    <mergeCell ref="MOY169:MOY170"/>
    <mergeCell ref="MPG169:MPG170"/>
    <mergeCell ref="MMM169:MMM170"/>
    <mergeCell ref="MMU169:MMU170"/>
    <mergeCell ref="MNC169:MNC170"/>
    <mergeCell ref="MNK169:MNK170"/>
    <mergeCell ref="MNS169:MNS170"/>
    <mergeCell ref="MKY169:MKY170"/>
    <mergeCell ref="MLG169:MLG170"/>
    <mergeCell ref="MLO169:MLO170"/>
    <mergeCell ref="MLW169:MLW170"/>
    <mergeCell ref="MME169:MME170"/>
    <mergeCell ref="MVS169:MVS170"/>
    <mergeCell ref="MWA169:MWA170"/>
    <mergeCell ref="MWI169:MWI170"/>
    <mergeCell ref="MWQ169:MWQ170"/>
    <mergeCell ref="MWY169:MWY170"/>
    <mergeCell ref="MUE169:MUE170"/>
    <mergeCell ref="MUM169:MUM170"/>
    <mergeCell ref="MUU169:MUU170"/>
    <mergeCell ref="MVC169:MVC170"/>
    <mergeCell ref="MVK169:MVK170"/>
    <mergeCell ref="MSQ169:MSQ170"/>
    <mergeCell ref="MSY169:MSY170"/>
    <mergeCell ref="MTG169:MTG170"/>
    <mergeCell ref="MTO169:MTO170"/>
    <mergeCell ref="MTW169:MTW170"/>
    <mergeCell ref="MRC169:MRC170"/>
    <mergeCell ref="MRK169:MRK170"/>
    <mergeCell ref="MRS169:MRS170"/>
    <mergeCell ref="MSA169:MSA170"/>
    <mergeCell ref="MSI169:MSI170"/>
    <mergeCell ref="NBW169:NBW170"/>
    <mergeCell ref="NCE169:NCE170"/>
    <mergeCell ref="NCM169:NCM170"/>
    <mergeCell ref="NCU169:NCU170"/>
    <mergeCell ref="NDC169:NDC170"/>
    <mergeCell ref="NAI169:NAI170"/>
    <mergeCell ref="NAQ169:NAQ170"/>
    <mergeCell ref="NAY169:NAY170"/>
    <mergeCell ref="NBG169:NBG170"/>
    <mergeCell ref="NBO169:NBO170"/>
    <mergeCell ref="MYU169:MYU170"/>
    <mergeCell ref="MZC169:MZC170"/>
    <mergeCell ref="MZK169:MZK170"/>
    <mergeCell ref="MZS169:MZS170"/>
    <mergeCell ref="NAA169:NAA170"/>
    <mergeCell ref="MXG169:MXG170"/>
    <mergeCell ref="MXO169:MXO170"/>
    <mergeCell ref="MXW169:MXW170"/>
    <mergeCell ref="MYE169:MYE170"/>
    <mergeCell ref="MYM169:MYM170"/>
    <mergeCell ref="NIA169:NIA170"/>
    <mergeCell ref="NII169:NII170"/>
    <mergeCell ref="NIQ169:NIQ170"/>
    <mergeCell ref="NIY169:NIY170"/>
    <mergeCell ref="NJG169:NJG170"/>
    <mergeCell ref="NGM169:NGM170"/>
    <mergeCell ref="NGU169:NGU170"/>
    <mergeCell ref="NHC169:NHC170"/>
    <mergeCell ref="NHK169:NHK170"/>
    <mergeCell ref="NHS169:NHS170"/>
    <mergeCell ref="NEY169:NEY170"/>
    <mergeCell ref="NFG169:NFG170"/>
    <mergeCell ref="NFO169:NFO170"/>
    <mergeCell ref="NFW169:NFW170"/>
    <mergeCell ref="NGE169:NGE170"/>
    <mergeCell ref="NDK169:NDK170"/>
    <mergeCell ref="NDS169:NDS170"/>
    <mergeCell ref="NEA169:NEA170"/>
    <mergeCell ref="NEI169:NEI170"/>
    <mergeCell ref="NEQ169:NEQ170"/>
    <mergeCell ref="NOE169:NOE170"/>
    <mergeCell ref="NOM169:NOM170"/>
    <mergeCell ref="NOU169:NOU170"/>
    <mergeCell ref="NPC169:NPC170"/>
    <mergeCell ref="NPK169:NPK170"/>
    <mergeCell ref="NMQ169:NMQ170"/>
    <mergeCell ref="NMY169:NMY170"/>
    <mergeCell ref="NNG169:NNG170"/>
    <mergeCell ref="NNO169:NNO170"/>
    <mergeCell ref="NNW169:NNW170"/>
    <mergeCell ref="NLC169:NLC170"/>
    <mergeCell ref="NLK169:NLK170"/>
    <mergeCell ref="NLS169:NLS170"/>
    <mergeCell ref="NMA169:NMA170"/>
    <mergeCell ref="NMI169:NMI170"/>
    <mergeCell ref="NJO169:NJO170"/>
    <mergeCell ref="NJW169:NJW170"/>
    <mergeCell ref="NKE169:NKE170"/>
    <mergeCell ref="NKM169:NKM170"/>
    <mergeCell ref="NKU169:NKU170"/>
    <mergeCell ref="NUI169:NUI170"/>
    <mergeCell ref="NUQ169:NUQ170"/>
    <mergeCell ref="NUY169:NUY170"/>
    <mergeCell ref="NVG169:NVG170"/>
    <mergeCell ref="NVO169:NVO170"/>
    <mergeCell ref="NSU169:NSU170"/>
    <mergeCell ref="NTC169:NTC170"/>
    <mergeCell ref="NTK169:NTK170"/>
    <mergeCell ref="NTS169:NTS170"/>
    <mergeCell ref="NUA169:NUA170"/>
    <mergeCell ref="NRG169:NRG170"/>
    <mergeCell ref="NRO169:NRO170"/>
    <mergeCell ref="NRW169:NRW170"/>
    <mergeCell ref="NSE169:NSE170"/>
    <mergeCell ref="NSM169:NSM170"/>
    <mergeCell ref="NPS169:NPS170"/>
    <mergeCell ref="NQA169:NQA170"/>
    <mergeCell ref="NQI169:NQI170"/>
    <mergeCell ref="NQQ169:NQQ170"/>
    <mergeCell ref="NQY169:NQY170"/>
    <mergeCell ref="OAM169:OAM170"/>
    <mergeCell ref="OAU169:OAU170"/>
    <mergeCell ref="OBC169:OBC170"/>
    <mergeCell ref="OBK169:OBK170"/>
    <mergeCell ref="OBS169:OBS170"/>
    <mergeCell ref="NYY169:NYY170"/>
    <mergeCell ref="NZG169:NZG170"/>
    <mergeCell ref="NZO169:NZO170"/>
    <mergeCell ref="NZW169:NZW170"/>
    <mergeCell ref="OAE169:OAE170"/>
    <mergeCell ref="NXK169:NXK170"/>
    <mergeCell ref="NXS169:NXS170"/>
    <mergeCell ref="NYA169:NYA170"/>
    <mergeCell ref="NYI169:NYI170"/>
    <mergeCell ref="NYQ169:NYQ170"/>
    <mergeCell ref="NVW169:NVW170"/>
    <mergeCell ref="NWE169:NWE170"/>
    <mergeCell ref="NWM169:NWM170"/>
    <mergeCell ref="NWU169:NWU170"/>
    <mergeCell ref="NXC169:NXC170"/>
    <mergeCell ref="OGQ169:OGQ170"/>
    <mergeCell ref="OGY169:OGY170"/>
    <mergeCell ref="OHG169:OHG170"/>
    <mergeCell ref="OHO169:OHO170"/>
    <mergeCell ref="OHW169:OHW170"/>
    <mergeCell ref="OFC169:OFC170"/>
    <mergeCell ref="OFK169:OFK170"/>
    <mergeCell ref="OFS169:OFS170"/>
    <mergeCell ref="OGA169:OGA170"/>
    <mergeCell ref="OGI169:OGI170"/>
    <mergeCell ref="ODO169:ODO170"/>
    <mergeCell ref="ODW169:ODW170"/>
    <mergeCell ref="OEE169:OEE170"/>
    <mergeCell ref="OEM169:OEM170"/>
    <mergeCell ref="OEU169:OEU170"/>
    <mergeCell ref="OCA169:OCA170"/>
    <mergeCell ref="OCI169:OCI170"/>
    <mergeCell ref="OCQ169:OCQ170"/>
    <mergeCell ref="OCY169:OCY170"/>
    <mergeCell ref="ODG169:ODG170"/>
    <mergeCell ref="OMU169:OMU170"/>
    <mergeCell ref="ONC169:ONC170"/>
    <mergeCell ref="ONK169:ONK170"/>
    <mergeCell ref="ONS169:ONS170"/>
    <mergeCell ref="OOA169:OOA170"/>
    <mergeCell ref="OLG169:OLG170"/>
    <mergeCell ref="OLO169:OLO170"/>
    <mergeCell ref="OLW169:OLW170"/>
    <mergeCell ref="OME169:OME170"/>
    <mergeCell ref="OMM169:OMM170"/>
    <mergeCell ref="OJS169:OJS170"/>
    <mergeCell ref="OKA169:OKA170"/>
    <mergeCell ref="OKI169:OKI170"/>
    <mergeCell ref="OKQ169:OKQ170"/>
    <mergeCell ref="OKY169:OKY170"/>
    <mergeCell ref="OIE169:OIE170"/>
    <mergeCell ref="OIM169:OIM170"/>
    <mergeCell ref="OIU169:OIU170"/>
    <mergeCell ref="OJC169:OJC170"/>
    <mergeCell ref="OJK169:OJK170"/>
    <mergeCell ref="OSY169:OSY170"/>
    <mergeCell ref="OTG169:OTG170"/>
    <mergeCell ref="OTO169:OTO170"/>
    <mergeCell ref="OTW169:OTW170"/>
    <mergeCell ref="OUE169:OUE170"/>
    <mergeCell ref="ORK169:ORK170"/>
    <mergeCell ref="ORS169:ORS170"/>
    <mergeCell ref="OSA169:OSA170"/>
    <mergeCell ref="OSI169:OSI170"/>
    <mergeCell ref="OSQ169:OSQ170"/>
    <mergeCell ref="OPW169:OPW170"/>
    <mergeCell ref="OQE169:OQE170"/>
    <mergeCell ref="OQM169:OQM170"/>
    <mergeCell ref="OQU169:OQU170"/>
    <mergeCell ref="ORC169:ORC170"/>
    <mergeCell ref="OOI169:OOI170"/>
    <mergeCell ref="OOQ169:OOQ170"/>
    <mergeCell ref="OOY169:OOY170"/>
    <mergeCell ref="OPG169:OPG170"/>
    <mergeCell ref="OPO169:OPO170"/>
    <mergeCell ref="OZC169:OZC170"/>
    <mergeCell ref="OZK169:OZK170"/>
    <mergeCell ref="OZS169:OZS170"/>
    <mergeCell ref="PAA169:PAA170"/>
    <mergeCell ref="PAI169:PAI170"/>
    <mergeCell ref="OXO169:OXO170"/>
    <mergeCell ref="OXW169:OXW170"/>
    <mergeCell ref="OYE169:OYE170"/>
    <mergeCell ref="OYM169:OYM170"/>
    <mergeCell ref="OYU169:OYU170"/>
    <mergeCell ref="OWA169:OWA170"/>
    <mergeCell ref="OWI169:OWI170"/>
    <mergeCell ref="OWQ169:OWQ170"/>
    <mergeCell ref="OWY169:OWY170"/>
    <mergeCell ref="OXG169:OXG170"/>
    <mergeCell ref="OUM169:OUM170"/>
    <mergeCell ref="OUU169:OUU170"/>
    <mergeCell ref="OVC169:OVC170"/>
    <mergeCell ref="OVK169:OVK170"/>
    <mergeCell ref="OVS169:OVS170"/>
    <mergeCell ref="PFG169:PFG170"/>
    <mergeCell ref="PFO169:PFO170"/>
    <mergeCell ref="PFW169:PFW170"/>
    <mergeCell ref="PGE169:PGE170"/>
    <mergeCell ref="PGM169:PGM170"/>
    <mergeCell ref="PDS169:PDS170"/>
    <mergeCell ref="PEA169:PEA170"/>
    <mergeCell ref="PEI169:PEI170"/>
    <mergeCell ref="PEQ169:PEQ170"/>
    <mergeCell ref="PEY169:PEY170"/>
    <mergeCell ref="PCE169:PCE170"/>
    <mergeCell ref="PCM169:PCM170"/>
    <mergeCell ref="PCU169:PCU170"/>
    <mergeCell ref="PDC169:PDC170"/>
    <mergeCell ref="PDK169:PDK170"/>
    <mergeCell ref="PAQ169:PAQ170"/>
    <mergeCell ref="PAY169:PAY170"/>
    <mergeCell ref="PBG169:PBG170"/>
    <mergeCell ref="PBO169:PBO170"/>
    <mergeCell ref="PBW169:PBW170"/>
    <mergeCell ref="PLK169:PLK170"/>
    <mergeCell ref="PLS169:PLS170"/>
    <mergeCell ref="PMA169:PMA170"/>
    <mergeCell ref="PMI169:PMI170"/>
    <mergeCell ref="PMQ169:PMQ170"/>
    <mergeCell ref="PJW169:PJW170"/>
    <mergeCell ref="PKE169:PKE170"/>
    <mergeCell ref="PKM169:PKM170"/>
    <mergeCell ref="PKU169:PKU170"/>
    <mergeCell ref="PLC169:PLC170"/>
    <mergeCell ref="PII169:PII170"/>
    <mergeCell ref="PIQ169:PIQ170"/>
    <mergeCell ref="PIY169:PIY170"/>
    <mergeCell ref="PJG169:PJG170"/>
    <mergeCell ref="PJO169:PJO170"/>
    <mergeCell ref="PGU169:PGU170"/>
    <mergeCell ref="PHC169:PHC170"/>
    <mergeCell ref="PHK169:PHK170"/>
    <mergeCell ref="PHS169:PHS170"/>
    <mergeCell ref="PIA169:PIA170"/>
    <mergeCell ref="PRO169:PRO170"/>
    <mergeCell ref="PRW169:PRW170"/>
    <mergeCell ref="PSE169:PSE170"/>
    <mergeCell ref="PSM169:PSM170"/>
    <mergeCell ref="PSU169:PSU170"/>
    <mergeCell ref="PQA169:PQA170"/>
    <mergeCell ref="PQI169:PQI170"/>
    <mergeCell ref="PQQ169:PQQ170"/>
    <mergeCell ref="PQY169:PQY170"/>
    <mergeCell ref="PRG169:PRG170"/>
    <mergeCell ref="POM169:POM170"/>
    <mergeCell ref="POU169:POU170"/>
    <mergeCell ref="PPC169:PPC170"/>
    <mergeCell ref="PPK169:PPK170"/>
    <mergeCell ref="PPS169:PPS170"/>
    <mergeCell ref="PMY169:PMY170"/>
    <mergeCell ref="PNG169:PNG170"/>
    <mergeCell ref="PNO169:PNO170"/>
    <mergeCell ref="PNW169:PNW170"/>
    <mergeCell ref="POE169:POE170"/>
    <mergeCell ref="PXS169:PXS170"/>
    <mergeCell ref="PYA169:PYA170"/>
    <mergeCell ref="PYI169:PYI170"/>
    <mergeCell ref="PYQ169:PYQ170"/>
    <mergeCell ref="PYY169:PYY170"/>
    <mergeCell ref="PWE169:PWE170"/>
    <mergeCell ref="PWM169:PWM170"/>
    <mergeCell ref="PWU169:PWU170"/>
    <mergeCell ref="PXC169:PXC170"/>
    <mergeCell ref="PXK169:PXK170"/>
    <mergeCell ref="PUQ169:PUQ170"/>
    <mergeCell ref="PUY169:PUY170"/>
    <mergeCell ref="PVG169:PVG170"/>
    <mergeCell ref="PVO169:PVO170"/>
    <mergeCell ref="PVW169:PVW170"/>
    <mergeCell ref="PTC169:PTC170"/>
    <mergeCell ref="PTK169:PTK170"/>
    <mergeCell ref="PTS169:PTS170"/>
    <mergeCell ref="PUA169:PUA170"/>
    <mergeCell ref="PUI169:PUI170"/>
    <mergeCell ref="QDW169:QDW170"/>
    <mergeCell ref="QEE169:QEE170"/>
    <mergeCell ref="QEM169:QEM170"/>
    <mergeCell ref="QEU169:QEU170"/>
    <mergeCell ref="QFC169:QFC170"/>
    <mergeCell ref="QCI169:QCI170"/>
    <mergeCell ref="QCQ169:QCQ170"/>
    <mergeCell ref="QCY169:QCY170"/>
    <mergeCell ref="QDG169:QDG170"/>
    <mergeCell ref="QDO169:QDO170"/>
    <mergeCell ref="QAU169:QAU170"/>
    <mergeCell ref="QBC169:QBC170"/>
    <mergeCell ref="QBK169:QBK170"/>
    <mergeCell ref="QBS169:QBS170"/>
    <mergeCell ref="QCA169:QCA170"/>
    <mergeCell ref="PZG169:PZG170"/>
    <mergeCell ref="PZO169:PZO170"/>
    <mergeCell ref="PZW169:PZW170"/>
    <mergeCell ref="QAE169:QAE170"/>
    <mergeCell ref="QAM169:QAM170"/>
    <mergeCell ref="QKA169:QKA170"/>
    <mergeCell ref="QKI169:QKI170"/>
    <mergeCell ref="QKQ169:QKQ170"/>
    <mergeCell ref="QKY169:QKY170"/>
    <mergeCell ref="QLG169:QLG170"/>
    <mergeCell ref="QIM169:QIM170"/>
    <mergeCell ref="QIU169:QIU170"/>
    <mergeCell ref="QJC169:QJC170"/>
    <mergeCell ref="QJK169:QJK170"/>
    <mergeCell ref="QJS169:QJS170"/>
    <mergeCell ref="QGY169:QGY170"/>
    <mergeCell ref="QHG169:QHG170"/>
    <mergeCell ref="QHO169:QHO170"/>
    <mergeCell ref="QHW169:QHW170"/>
    <mergeCell ref="QIE169:QIE170"/>
    <mergeCell ref="QFK169:QFK170"/>
    <mergeCell ref="QFS169:QFS170"/>
    <mergeCell ref="QGA169:QGA170"/>
    <mergeCell ref="QGI169:QGI170"/>
    <mergeCell ref="QGQ169:QGQ170"/>
    <mergeCell ref="QQE169:QQE170"/>
    <mergeCell ref="QQM169:QQM170"/>
    <mergeCell ref="QQU169:QQU170"/>
    <mergeCell ref="QRC169:QRC170"/>
    <mergeCell ref="QRK169:QRK170"/>
    <mergeCell ref="QOQ169:QOQ170"/>
    <mergeCell ref="QOY169:QOY170"/>
    <mergeCell ref="QPG169:QPG170"/>
    <mergeCell ref="QPO169:QPO170"/>
    <mergeCell ref="QPW169:QPW170"/>
    <mergeCell ref="QNC169:QNC170"/>
    <mergeCell ref="QNK169:QNK170"/>
    <mergeCell ref="QNS169:QNS170"/>
    <mergeCell ref="QOA169:QOA170"/>
    <mergeCell ref="QOI169:QOI170"/>
    <mergeCell ref="QLO169:QLO170"/>
    <mergeCell ref="QLW169:QLW170"/>
    <mergeCell ref="QME169:QME170"/>
    <mergeCell ref="QMM169:QMM170"/>
    <mergeCell ref="QMU169:QMU170"/>
    <mergeCell ref="QWI169:QWI170"/>
    <mergeCell ref="QWQ169:QWQ170"/>
    <mergeCell ref="QWY169:QWY170"/>
    <mergeCell ref="QXG169:QXG170"/>
    <mergeCell ref="QXO169:QXO170"/>
    <mergeCell ref="QUU169:QUU170"/>
    <mergeCell ref="QVC169:QVC170"/>
    <mergeCell ref="QVK169:QVK170"/>
    <mergeCell ref="QVS169:QVS170"/>
    <mergeCell ref="QWA169:QWA170"/>
    <mergeCell ref="QTG169:QTG170"/>
    <mergeCell ref="QTO169:QTO170"/>
    <mergeCell ref="QTW169:QTW170"/>
    <mergeCell ref="QUE169:QUE170"/>
    <mergeCell ref="QUM169:QUM170"/>
    <mergeCell ref="QRS169:QRS170"/>
    <mergeCell ref="QSA169:QSA170"/>
    <mergeCell ref="QSI169:QSI170"/>
    <mergeCell ref="QSQ169:QSQ170"/>
    <mergeCell ref="QSY169:QSY170"/>
    <mergeCell ref="RCM169:RCM170"/>
    <mergeCell ref="RCU169:RCU170"/>
    <mergeCell ref="RDC169:RDC170"/>
    <mergeCell ref="RDK169:RDK170"/>
    <mergeCell ref="RDS169:RDS170"/>
    <mergeCell ref="RAY169:RAY170"/>
    <mergeCell ref="RBG169:RBG170"/>
    <mergeCell ref="RBO169:RBO170"/>
    <mergeCell ref="RBW169:RBW170"/>
    <mergeCell ref="RCE169:RCE170"/>
    <mergeCell ref="QZK169:QZK170"/>
    <mergeCell ref="QZS169:QZS170"/>
    <mergeCell ref="RAA169:RAA170"/>
    <mergeCell ref="RAI169:RAI170"/>
    <mergeCell ref="RAQ169:RAQ170"/>
    <mergeCell ref="QXW169:QXW170"/>
    <mergeCell ref="QYE169:QYE170"/>
    <mergeCell ref="QYM169:QYM170"/>
    <mergeCell ref="QYU169:QYU170"/>
    <mergeCell ref="QZC169:QZC170"/>
    <mergeCell ref="RIQ169:RIQ170"/>
    <mergeCell ref="RIY169:RIY170"/>
    <mergeCell ref="RJG169:RJG170"/>
    <mergeCell ref="RJO169:RJO170"/>
    <mergeCell ref="RJW169:RJW170"/>
    <mergeCell ref="RHC169:RHC170"/>
    <mergeCell ref="RHK169:RHK170"/>
    <mergeCell ref="RHS169:RHS170"/>
    <mergeCell ref="RIA169:RIA170"/>
    <mergeCell ref="RII169:RII170"/>
    <mergeCell ref="RFO169:RFO170"/>
    <mergeCell ref="RFW169:RFW170"/>
    <mergeCell ref="RGE169:RGE170"/>
    <mergeCell ref="RGM169:RGM170"/>
    <mergeCell ref="RGU169:RGU170"/>
    <mergeCell ref="REA169:REA170"/>
    <mergeCell ref="REI169:REI170"/>
    <mergeCell ref="REQ169:REQ170"/>
    <mergeCell ref="REY169:REY170"/>
    <mergeCell ref="RFG169:RFG170"/>
    <mergeCell ref="ROU169:ROU170"/>
    <mergeCell ref="RPC169:RPC170"/>
    <mergeCell ref="RPK169:RPK170"/>
    <mergeCell ref="RPS169:RPS170"/>
    <mergeCell ref="RQA169:RQA170"/>
    <mergeCell ref="RNG169:RNG170"/>
    <mergeCell ref="RNO169:RNO170"/>
    <mergeCell ref="RNW169:RNW170"/>
    <mergeCell ref="ROE169:ROE170"/>
    <mergeCell ref="ROM169:ROM170"/>
    <mergeCell ref="RLS169:RLS170"/>
    <mergeCell ref="RMA169:RMA170"/>
    <mergeCell ref="RMI169:RMI170"/>
    <mergeCell ref="RMQ169:RMQ170"/>
    <mergeCell ref="RMY169:RMY170"/>
    <mergeCell ref="RKE169:RKE170"/>
    <mergeCell ref="RKM169:RKM170"/>
    <mergeCell ref="RKU169:RKU170"/>
    <mergeCell ref="RLC169:RLC170"/>
    <mergeCell ref="RLK169:RLK170"/>
    <mergeCell ref="RUY169:RUY170"/>
    <mergeCell ref="RVG169:RVG170"/>
    <mergeCell ref="RVO169:RVO170"/>
    <mergeCell ref="RVW169:RVW170"/>
    <mergeCell ref="RWE169:RWE170"/>
    <mergeCell ref="RTK169:RTK170"/>
    <mergeCell ref="RTS169:RTS170"/>
    <mergeCell ref="RUA169:RUA170"/>
    <mergeCell ref="RUI169:RUI170"/>
    <mergeCell ref="RUQ169:RUQ170"/>
    <mergeCell ref="RRW169:RRW170"/>
    <mergeCell ref="RSE169:RSE170"/>
    <mergeCell ref="RSM169:RSM170"/>
    <mergeCell ref="RSU169:RSU170"/>
    <mergeCell ref="RTC169:RTC170"/>
    <mergeCell ref="RQI169:RQI170"/>
    <mergeCell ref="RQQ169:RQQ170"/>
    <mergeCell ref="RQY169:RQY170"/>
    <mergeCell ref="RRG169:RRG170"/>
    <mergeCell ref="RRO169:RRO170"/>
    <mergeCell ref="SBC169:SBC170"/>
    <mergeCell ref="SBK169:SBK170"/>
    <mergeCell ref="SBS169:SBS170"/>
    <mergeCell ref="SCA169:SCA170"/>
    <mergeCell ref="SCI169:SCI170"/>
    <mergeCell ref="RZO169:RZO170"/>
    <mergeCell ref="RZW169:RZW170"/>
    <mergeCell ref="SAE169:SAE170"/>
    <mergeCell ref="SAM169:SAM170"/>
    <mergeCell ref="SAU169:SAU170"/>
    <mergeCell ref="RYA169:RYA170"/>
    <mergeCell ref="RYI169:RYI170"/>
    <mergeCell ref="RYQ169:RYQ170"/>
    <mergeCell ref="RYY169:RYY170"/>
    <mergeCell ref="RZG169:RZG170"/>
    <mergeCell ref="RWM169:RWM170"/>
    <mergeCell ref="RWU169:RWU170"/>
    <mergeCell ref="RXC169:RXC170"/>
    <mergeCell ref="RXK169:RXK170"/>
    <mergeCell ref="RXS169:RXS170"/>
    <mergeCell ref="SHG169:SHG170"/>
    <mergeCell ref="SHO169:SHO170"/>
    <mergeCell ref="SHW169:SHW170"/>
    <mergeCell ref="SIE169:SIE170"/>
    <mergeCell ref="SIM169:SIM170"/>
    <mergeCell ref="SFS169:SFS170"/>
    <mergeCell ref="SGA169:SGA170"/>
    <mergeCell ref="SGI169:SGI170"/>
    <mergeCell ref="SGQ169:SGQ170"/>
    <mergeCell ref="SGY169:SGY170"/>
    <mergeCell ref="SEE169:SEE170"/>
    <mergeCell ref="SEM169:SEM170"/>
    <mergeCell ref="SEU169:SEU170"/>
    <mergeCell ref="SFC169:SFC170"/>
    <mergeCell ref="SFK169:SFK170"/>
    <mergeCell ref="SCQ169:SCQ170"/>
    <mergeCell ref="SCY169:SCY170"/>
    <mergeCell ref="SDG169:SDG170"/>
    <mergeCell ref="SDO169:SDO170"/>
    <mergeCell ref="SDW169:SDW170"/>
    <mergeCell ref="SNK169:SNK170"/>
    <mergeCell ref="SNS169:SNS170"/>
    <mergeCell ref="SOA169:SOA170"/>
    <mergeCell ref="SOI169:SOI170"/>
    <mergeCell ref="SOQ169:SOQ170"/>
    <mergeCell ref="SLW169:SLW170"/>
    <mergeCell ref="SME169:SME170"/>
    <mergeCell ref="SMM169:SMM170"/>
    <mergeCell ref="SMU169:SMU170"/>
    <mergeCell ref="SNC169:SNC170"/>
    <mergeCell ref="SKI169:SKI170"/>
    <mergeCell ref="SKQ169:SKQ170"/>
    <mergeCell ref="SKY169:SKY170"/>
    <mergeCell ref="SLG169:SLG170"/>
    <mergeCell ref="SLO169:SLO170"/>
    <mergeCell ref="SIU169:SIU170"/>
    <mergeCell ref="SJC169:SJC170"/>
    <mergeCell ref="SJK169:SJK170"/>
    <mergeCell ref="SJS169:SJS170"/>
    <mergeCell ref="SKA169:SKA170"/>
    <mergeCell ref="STO169:STO170"/>
    <mergeCell ref="STW169:STW170"/>
    <mergeCell ref="SUE169:SUE170"/>
    <mergeCell ref="SUM169:SUM170"/>
    <mergeCell ref="SUU169:SUU170"/>
    <mergeCell ref="SSA169:SSA170"/>
    <mergeCell ref="SSI169:SSI170"/>
    <mergeCell ref="SSQ169:SSQ170"/>
    <mergeCell ref="SSY169:SSY170"/>
    <mergeCell ref="STG169:STG170"/>
    <mergeCell ref="SQM169:SQM170"/>
    <mergeCell ref="SQU169:SQU170"/>
    <mergeCell ref="SRC169:SRC170"/>
    <mergeCell ref="SRK169:SRK170"/>
    <mergeCell ref="SRS169:SRS170"/>
    <mergeCell ref="SOY169:SOY170"/>
    <mergeCell ref="SPG169:SPG170"/>
    <mergeCell ref="SPO169:SPO170"/>
    <mergeCell ref="SPW169:SPW170"/>
    <mergeCell ref="SQE169:SQE170"/>
    <mergeCell ref="SZS169:SZS170"/>
    <mergeCell ref="TAA169:TAA170"/>
    <mergeCell ref="TAI169:TAI170"/>
    <mergeCell ref="TAQ169:TAQ170"/>
    <mergeCell ref="TAY169:TAY170"/>
    <mergeCell ref="SYE169:SYE170"/>
    <mergeCell ref="SYM169:SYM170"/>
    <mergeCell ref="SYU169:SYU170"/>
    <mergeCell ref="SZC169:SZC170"/>
    <mergeCell ref="SZK169:SZK170"/>
    <mergeCell ref="SWQ169:SWQ170"/>
    <mergeCell ref="SWY169:SWY170"/>
    <mergeCell ref="SXG169:SXG170"/>
    <mergeCell ref="SXO169:SXO170"/>
    <mergeCell ref="SXW169:SXW170"/>
    <mergeCell ref="SVC169:SVC170"/>
    <mergeCell ref="SVK169:SVK170"/>
    <mergeCell ref="SVS169:SVS170"/>
    <mergeCell ref="SWA169:SWA170"/>
    <mergeCell ref="SWI169:SWI170"/>
    <mergeCell ref="TFW169:TFW170"/>
    <mergeCell ref="TGE169:TGE170"/>
    <mergeCell ref="TGM169:TGM170"/>
    <mergeCell ref="TGU169:TGU170"/>
    <mergeCell ref="THC169:THC170"/>
    <mergeCell ref="TEI169:TEI170"/>
    <mergeCell ref="TEQ169:TEQ170"/>
    <mergeCell ref="TEY169:TEY170"/>
    <mergeCell ref="TFG169:TFG170"/>
    <mergeCell ref="TFO169:TFO170"/>
    <mergeCell ref="TCU169:TCU170"/>
    <mergeCell ref="TDC169:TDC170"/>
    <mergeCell ref="TDK169:TDK170"/>
    <mergeCell ref="TDS169:TDS170"/>
    <mergeCell ref="TEA169:TEA170"/>
    <mergeCell ref="TBG169:TBG170"/>
    <mergeCell ref="TBO169:TBO170"/>
    <mergeCell ref="TBW169:TBW170"/>
    <mergeCell ref="TCE169:TCE170"/>
    <mergeCell ref="TCM169:TCM170"/>
    <mergeCell ref="TMA169:TMA170"/>
    <mergeCell ref="TMI169:TMI170"/>
    <mergeCell ref="TMQ169:TMQ170"/>
    <mergeCell ref="TMY169:TMY170"/>
    <mergeCell ref="TNG169:TNG170"/>
    <mergeCell ref="TKM169:TKM170"/>
    <mergeCell ref="TKU169:TKU170"/>
    <mergeCell ref="TLC169:TLC170"/>
    <mergeCell ref="TLK169:TLK170"/>
    <mergeCell ref="TLS169:TLS170"/>
    <mergeCell ref="TIY169:TIY170"/>
    <mergeCell ref="TJG169:TJG170"/>
    <mergeCell ref="TJO169:TJO170"/>
    <mergeCell ref="TJW169:TJW170"/>
    <mergeCell ref="TKE169:TKE170"/>
    <mergeCell ref="THK169:THK170"/>
    <mergeCell ref="THS169:THS170"/>
    <mergeCell ref="TIA169:TIA170"/>
    <mergeCell ref="TII169:TII170"/>
    <mergeCell ref="TIQ169:TIQ170"/>
    <mergeCell ref="TSE169:TSE170"/>
    <mergeCell ref="TSM169:TSM170"/>
    <mergeCell ref="TSU169:TSU170"/>
    <mergeCell ref="TTC169:TTC170"/>
    <mergeCell ref="TTK169:TTK170"/>
    <mergeCell ref="TQQ169:TQQ170"/>
    <mergeCell ref="TQY169:TQY170"/>
    <mergeCell ref="TRG169:TRG170"/>
    <mergeCell ref="TRO169:TRO170"/>
    <mergeCell ref="TRW169:TRW170"/>
    <mergeCell ref="TPC169:TPC170"/>
    <mergeCell ref="TPK169:TPK170"/>
    <mergeCell ref="TPS169:TPS170"/>
    <mergeCell ref="TQA169:TQA170"/>
    <mergeCell ref="TQI169:TQI170"/>
    <mergeCell ref="TNO169:TNO170"/>
    <mergeCell ref="TNW169:TNW170"/>
    <mergeCell ref="TOE169:TOE170"/>
    <mergeCell ref="TOM169:TOM170"/>
    <mergeCell ref="TOU169:TOU170"/>
    <mergeCell ref="TYI169:TYI170"/>
    <mergeCell ref="TYQ169:TYQ170"/>
    <mergeCell ref="TYY169:TYY170"/>
    <mergeCell ref="TZG169:TZG170"/>
    <mergeCell ref="TZO169:TZO170"/>
    <mergeCell ref="TWU169:TWU170"/>
    <mergeCell ref="TXC169:TXC170"/>
    <mergeCell ref="TXK169:TXK170"/>
    <mergeCell ref="TXS169:TXS170"/>
    <mergeCell ref="TYA169:TYA170"/>
    <mergeCell ref="TVG169:TVG170"/>
    <mergeCell ref="TVO169:TVO170"/>
    <mergeCell ref="TVW169:TVW170"/>
    <mergeCell ref="TWE169:TWE170"/>
    <mergeCell ref="TWM169:TWM170"/>
    <mergeCell ref="TTS169:TTS170"/>
    <mergeCell ref="TUA169:TUA170"/>
    <mergeCell ref="TUI169:TUI170"/>
    <mergeCell ref="TUQ169:TUQ170"/>
    <mergeCell ref="TUY169:TUY170"/>
    <mergeCell ref="UEM169:UEM170"/>
    <mergeCell ref="UEU169:UEU170"/>
    <mergeCell ref="UFC169:UFC170"/>
    <mergeCell ref="UFK169:UFK170"/>
    <mergeCell ref="UFS169:UFS170"/>
    <mergeCell ref="UCY169:UCY170"/>
    <mergeCell ref="UDG169:UDG170"/>
    <mergeCell ref="UDO169:UDO170"/>
    <mergeCell ref="UDW169:UDW170"/>
    <mergeCell ref="UEE169:UEE170"/>
    <mergeCell ref="UBK169:UBK170"/>
    <mergeCell ref="UBS169:UBS170"/>
    <mergeCell ref="UCA169:UCA170"/>
    <mergeCell ref="UCI169:UCI170"/>
    <mergeCell ref="UCQ169:UCQ170"/>
    <mergeCell ref="TZW169:TZW170"/>
    <mergeCell ref="UAE169:UAE170"/>
    <mergeCell ref="UAM169:UAM170"/>
    <mergeCell ref="UAU169:UAU170"/>
    <mergeCell ref="UBC169:UBC170"/>
    <mergeCell ref="UKQ169:UKQ170"/>
    <mergeCell ref="UKY169:UKY170"/>
    <mergeCell ref="ULG169:ULG170"/>
    <mergeCell ref="ULO169:ULO170"/>
    <mergeCell ref="ULW169:ULW170"/>
    <mergeCell ref="UJC169:UJC170"/>
    <mergeCell ref="UJK169:UJK170"/>
    <mergeCell ref="UJS169:UJS170"/>
    <mergeCell ref="UKA169:UKA170"/>
    <mergeCell ref="UKI169:UKI170"/>
    <mergeCell ref="UHO169:UHO170"/>
    <mergeCell ref="UHW169:UHW170"/>
    <mergeCell ref="UIE169:UIE170"/>
    <mergeCell ref="UIM169:UIM170"/>
    <mergeCell ref="UIU169:UIU170"/>
    <mergeCell ref="UGA169:UGA170"/>
    <mergeCell ref="UGI169:UGI170"/>
    <mergeCell ref="UGQ169:UGQ170"/>
    <mergeCell ref="UGY169:UGY170"/>
    <mergeCell ref="UHG169:UHG170"/>
    <mergeCell ref="UQU169:UQU170"/>
    <mergeCell ref="URC169:URC170"/>
    <mergeCell ref="URK169:URK170"/>
    <mergeCell ref="URS169:URS170"/>
    <mergeCell ref="USA169:USA170"/>
    <mergeCell ref="UPG169:UPG170"/>
    <mergeCell ref="UPO169:UPO170"/>
    <mergeCell ref="UPW169:UPW170"/>
    <mergeCell ref="UQE169:UQE170"/>
    <mergeCell ref="UQM169:UQM170"/>
    <mergeCell ref="UNS169:UNS170"/>
    <mergeCell ref="UOA169:UOA170"/>
    <mergeCell ref="UOI169:UOI170"/>
    <mergeCell ref="UOQ169:UOQ170"/>
    <mergeCell ref="UOY169:UOY170"/>
    <mergeCell ref="UME169:UME170"/>
    <mergeCell ref="UMM169:UMM170"/>
    <mergeCell ref="UMU169:UMU170"/>
    <mergeCell ref="UNC169:UNC170"/>
    <mergeCell ref="UNK169:UNK170"/>
    <mergeCell ref="UWY169:UWY170"/>
    <mergeCell ref="UXG169:UXG170"/>
    <mergeCell ref="UXO169:UXO170"/>
    <mergeCell ref="UXW169:UXW170"/>
    <mergeCell ref="UYE169:UYE170"/>
    <mergeCell ref="UVK169:UVK170"/>
    <mergeCell ref="UVS169:UVS170"/>
    <mergeCell ref="UWA169:UWA170"/>
    <mergeCell ref="UWI169:UWI170"/>
    <mergeCell ref="UWQ169:UWQ170"/>
    <mergeCell ref="UTW169:UTW170"/>
    <mergeCell ref="UUE169:UUE170"/>
    <mergeCell ref="UUM169:UUM170"/>
    <mergeCell ref="UUU169:UUU170"/>
    <mergeCell ref="UVC169:UVC170"/>
    <mergeCell ref="USI169:USI170"/>
    <mergeCell ref="USQ169:USQ170"/>
    <mergeCell ref="USY169:USY170"/>
    <mergeCell ref="UTG169:UTG170"/>
    <mergeCell ref="UTO169:UTO170"/>
    <mergeCell ref="VDC169:VDC170"/>
    <mergeCell ref="VDK169:VDK170"/>
    <mergeCell ref="VDS169:VDS170"/>
    <mergeCell ref="VEA169:VEA170"/>
    <mergeCell ref="VEI169:VEI170"/>
    <mergeCell ref="VBO169:VBO170"/>
    <mergeCell ref="VBW169:VBW170"/>
    <mergeCell ref="VCE169:VCE170"/>
    <mergeCell ref="VCM169:VCM170"/>
    <mergeCell ref="VCU169:VCU170"/>
    <mergeCell ref="VAA169:VAA170"/>
    <mergeCell ref="VAI169:VAI170"/>
    <mergeCell ref="VAQ169:VAQ170"/>
    <mergeCell ref="VAY169:VAY170"/>
    <mergeCell ref="VBG169:VBG170"/>
    <mergeCell ref="UYM169:UYM170"/>
    <mergeCell ref="UYU169:UYU170"/>
    <mergeCell ref="UZC169:UZC170"/>
    <mergeCell ref="UZK169:UZK170"/>
    <mergeCell ref="UZS169:UZS170"/>
    <mergeCell ref="VJG169:VJG170"/>
    <mergeCell ref="VJO169:VJO170"/>
    <mergeCell ref="VJW169:VJW170"/>
    <mergeCell ref="VKE169:VKE170"/>
    <mergeCell ref="VKM169:VKM170"/>
    <mergeCell ref="VHS169:VHS170"/>
    <mergeCell ref="VIA169:VIA170"/>
    <mergeCell ref="VII169:VII170"/>
    <mergeCell ref="VIQ169:VIQ170"/>
    <mergeCell ref="VIY169:VIY170"/>
    <mergeCell ref="VGE169:VGE170"/>
    <mergeCell ref="VGM169:VGM170"/>
    <mergeCell ref="VGU169:VGU170"/>
    <mergeCell ref="VHC169:VHC170"/>
    <mergeCell ref="VHK169:VHK170"/>
    <mergeCell ref="VEQ169:VEQ170"/>
    <mergeCell ref="VEY169:VEY170"/>
    <mergeCell ref="VFG169:VFG170"/>
    <mergeCell ref="VFO169:VFO170"/>
    <mergeCell ref="VFW169:VFW170"/>
    <mergeCell ref="VPK169:VPK170"/>
    <mergeCell ref="VPS169:VPS170"/>
    <mergeCell ref="VQA169:VQA170"/>
    <mergeCell ref="VQI169:VQI170"/>
    <mergeCell ref="VQQ169:VQQ170"/>
    <mergeCell ref="VNW169:VNW170"/>
    <mergeCell ref="VOE169:VOE170"/>
    <mergeCell ref="VOM169:VOM170"/>
    <mergeCell ref="VOU169:VOU170"/>
    <mergeCell ref="VPC169:VPC170"/>
    <mergeCell ref="VMI169:VMI170"/>
    <mergeCell ref="VMQ169:VMQ170"/>
    <mergeCell ref="VMY169:VMY170"/>
    <mergeCell ref="VNG169:VNG170"/>
    <mergeCell ref="VNO169:VNO170"/>
    <mergeCell ref="VKU169:VKU170"/>
    <mergeCell ref="VLC169:VLC170"/>
    <mergeCell ref="VLK169:VLK170"/>
    <mergeCell ref="VLS169:VLS170"/>
    <mergeCell ref="VMA169:VMA170"/>
    <mergeCell ref="VVO169:VVO170"/>
    <mergeCell ref="VVW169:VVW170"/>
    <mergeCell ref="VWE169:VWE170"/>
    <mergeCell ref="VWM169:VWM170"/>
    <mergeCell ref="VWU169:VWU170"/>
    <mergeCell ref="VUA169:VUA170"/>
    <mergeCell ref="VUI169:VUI170"/>
    <mergeCell ref="VUQ169:VUQ170"/>
    <mergeCell ref="VUY169:VUY170"/>
    <mergeCell ref="VVG169:VVG170"/>
    <mergeCell ref="VSM169:VSM170"/>
    <mergeCell ref="VSU169:VSU170"/>
    <mergeCell ref="VTC169:VTC170"/>
    <mergeCell ref="VTK169:VTK170"/>
    <mergeCell ref="VTS169:VTS170"/>
    <mergeCell ref="VQY169:VQY170"/>
    <mergeCell ref="VRG169:VRG170"/>
    <mergeCell ref="VRO169:VRO170"/>
    <mergeCell ref="VRW169:VRW170"/>
    <mergeCell ref="VSE169:VSE170"/>
    <mergeCell ref="WBS169:WBS170"/>
    <mergeCell ref="WCA169:WCA170"/>
    <mergeCell ref="WCI169:WCI170"/>
    <mergeCell ref="WCQ169:WCQ170"/>
    <mergeCell ref="WCY169:WCY170"/>
    <mergeCell ref="WAE169:WAE170"/>
    <mergeCell ref="WAM169:WAM170"/>
    <mergeCell ref="WAU169:WAU170"/>
    <mergeCell ref="WBC169:WBC170"/>
    <mergeCell ref="WBK169:WBK170"/>
    <mergeCell ref="VYQ169:VYQ170"/>
    <mergeCell ref="VYY169:VYY170"/>
    <mergeCell ref="VZG169:VZG170"/>
    <mergeCell ref="VZO169:VZO170"/>
    <mergeCell ref="VZW169:VZW170"/>
    <mergeCell ref="VXC169:VXC170"/>
    <mergeCell ref="VXK169:VXK170"/>
    <mergeCell ref="VXS169:VXS170"/>
    <mergeCell ref="VYA169:VYA170"/>
    <mergeCell ref="VYI169:VYI170"/>
    <mergeCell ref="WHW169:WHW170"/>
    <mergeCell ref="WIE169:WIE170"/>
    <mergeCell ref="WIM169:WIM170"/>
    <mergeCell ref="WIU169:WIU170"/>
    <mergeCell ref="WJC169:WJC170"/>
    <mergeCell ref="WGI169:WGI170"/>
    <mergeCell ref="WGQ169:WGQ170"/>
    <mergeCell ref="WGY169:WGY170"/>
    <mergeCell ref="WHG169:WHG170"/>
    <mergeCell ref="WHO169:WHO170"/>
    <mergeCell ref="WEU169:WEU170"/>
    <mergeCell ref="WFC169:WFC170"/>
    <mergeCell ref="WFK169:WFK170"/>
    <mergeCell ref="WFS169:WFS170"/>
    <mergeCell ref="WGA169:WGA170"/>
    <mergeCell ref="WDG169:WDG170"/>
    <mergeCell ref="WDO169:WDO170"/>
    <mergeCell ref="WDW169:WDW170"/>
    <mergeCell ref="WEE169:WEE170"/>
    <mergeCell ref="WEM169:WEM170"/>
    <mergeCell ref="WOA169:WOA170"/>
    <mergeCell ref="WOI169:WOI170"/>
    <mergeCell ref="WOQ169:WOQ170"/>
    <mergeCell ref="WOY169:WOY170"/>
    <mergeCell ref="WPG169:WPG170"/>
    <mergeCell ref="WMM169:WMM170"/>
    <mergeCell ref="WMU169:WMU170"/>
    <mergeCell ref="WNC169:WNC170"/>
    <mergeCell ref="WNK169:WNK170"/>
    <mergeCell ref="WNS169:WNS170"/>
    <mergeCell ref="WKY169:WKY170"/>
    <mergeCell ref="WLG169:WLG170"/>
    <mergeCell ref="WLO169:WLO170"/>
    <mergeCell ref="WLW169:WLW170"/>
    <mergeCell ref="WME169:WME170"/>
    <mergeCell ref="WJK169:WJK170"/>
    <mergeCell ref="WJS169:WJS170"/>
    <mergeCell ref="WKA169:WKA170"/>
    <mergeCell ref="WKI169:WKI170"/>
    <mergeCell ref="WKQ169:WKQ170"/>
    <mergeCell ref="WUE169:WUE170"/>
    <mergeCell ref="WUM169:WUM170"/>
    <mergeCell ref="WUU169:WUU170"/>
    <mergeCell ref="WVC169:WVC170"/>
    <mergeCell ref="WVK169:WVK170"/>
    <mergeCell ref="WSQ169:WSQ170"/>
    <mergeCell ref="WSY169:WSY170"/>
    <mergeCell ref="WTG169:WTG170"/>
    <mergeCell ref="WTO169:WTO170"/>
    <mergeCell ref="WTW169:WTW170"/>
    <mergeCell ref="WRC169:WRC170"/>
    <mergeCell ref="WRK169:WRK170"/>
    <mergeCell ref="WRS169:WRS170"/>
    <mergeCell ref="WSA169:WSA170"/>
    <mergeCell ref="WSI169:WSI170"/>
    <mergeCell ref="WPO169:WPO170"/>
    <mergeCell ref="WPW169:WPW170"/>
    <mergeCell ref="WQE169:WQE170"/>
    <mergeCell ref="WQM169:WQM170"/>
    <mergeCell ref="WQU169:WQU170"/>
    <mergeCell ref="XEY169:XEY170"/>
    <mergeCell ref="XDK169:XDK170"/>
    <mergeCell ref="XDS169:XDS170"/>
    <mergeCell ref="XEA169:XEA170"/>
    <mergeCell ref="XEI169:XEI170"/>
    <mergeCell ref="XEQ169:XEQ170"/>
    <mergeCell ref="XBW169:XBW170"/>
    <mergeCell ref="XCE169:XCE170"/>
    <mergeCell ref="XCM169:XCM170"/>
    <mergeCell ref="XCU169:XCU170"/>
    <mergeCell ref="XDC169:XDC170"/>
    <mergeCell ref="XAI169:XAI170"/>
    <mergeCell ref="XAQ169:XAQ170"/>
    <mergeCell ref="XAY169:XAY170"/>
    <mergeCell ref="XBG169:XBG170"/>
    <mergeCell ref="XBO169:XBO170"/>
    <mergeCell ref="WYU169:WYU170"/>
    <mergeCell ref="WZC169:WZC170"/>
    <mergeCell ref="WZK169:WZK170"/>
    <mergeCell ref="WZS169:WZS170"/>
    <mergeCell ref="XAA169:XAA170"/>
    <mergeCell ref="WXG169:WXG170"/>
    <mergeCell ref="WXO169:WXO170"/>
    <mergeCell ref="WXW169:WXW170"/>
    <mergeCell ref="WYE169:WYE170"/>
    <mergeCell ref="WYM169:WYM170"/>
    <mergeCell ref="WVS169:WVS170"/>
    <mergeCell ref="WWA169:WWA170"/>
    <mergeCell ref="WWI169:WWI170"/>
    <mergeCell ref="WWQ169:WWQ170"/>
    <mergeCell ref="WWY169:WWY170"/>
    <mergeCell ref="DS188:DS189"/>
    <mergeCell ref="EA188:EA189"/>
    <mergeCell ref="EI188:EI189"/>
    <mergeCell ref="BO188:BO189"/>
    <mergeCell ref="BW188:BW189"/>
    <mergeCell ref="CE188:CE189"/>
    <mergeCell ref="CM188:CM189"/>
    <mergeCell ref="CU188:CU189"/>
    <mergeCell ref="PK188:PK189"/>
    <mergeCell ref="PS188:PS189"/>
    <mergeCell ref="QA188:QA189"/>
    <mergeCell ref="QI188:QI189"/>
    <mergeCell ref="QQ188:QQ189"/>
    <mergeCell ref="NW188:NW189"/>
    <mergeCell ref="OE188:OE189"/>
    <mergeCell ref="OM188:OM189"/>
    <mergeCell ref="OU188:OU189"/>
    <mergeCell ref="PC188:PC189"/>
    <mergeCell ref="MI188:MI189"/>
    <mergeCell ref="MQ188:MQ189"/>
    <mergeCell ref="MY188:MY189"/>
    <mergeCell ref="NG188:NG189"/>
    <mergeCell ref="AA188:AA189"/>
    <mergeCell ref="AI188:AI189"/>
    <mergeCell ref="AQ188:AQ189"/>
    <mergeCell ref="AY188:AY189"/>
    <mergeCell ref="BG188:BG189"/>
    <mergeCell ref="E177:F177"/>
    <mergeCell ref="E182:F182"/>
    <mergeCell ref="JG188:JG189"/>
    <mergeCell ref="JO188:JO189"/>
    <mergeCell ref="S188:S189"/>
    <mergeCell ref="DC188:DC189"/>
    <mergeCell ref="DK188:DK189"/>
    <mergeCell ref="JW188:JW189"/>
    <mergeCell ref="KE188:KE189"/>
    <mergeCell ref="KM188:KM189"/>
    <mergeCell ref="HS188:HS189"/>
    <mergeCell ref="IA188:IA189"/>
    <mergeCell ref="II188:II189"/>
    <mergeCell ref="IQ188:IQ189"/>
    <mergeCell ref="IY188:IY189"/>
    <mergeCell ref="GE188:GE189"/>
    <mergeCell ref="GM188:GM189"/>
    <mergeCell ref="GU188:GU189"/>
    <mergeCell ref="HC188:HC189"/>
    <mergeCell ref="HK188:HK189"/>
    <mergeCell ref="EQ188:EQ189"/>
    <mergeCell ref="EY188:EY189"/>
    <mergeCell ref="FG188:FG189"/>
    <mergeCell ref="FO188:FO189"/>
    <mergeCell ref="FW188:FW189"/>
    <mergeCell ref="NO188:NO189"/>
    <mergeCell ref="KU188:KU189"/>
    <mergeCell ref="LC188:LC189"/>
    <mergeCell ref="LK188:LK189"/>
    <mergeCell ref="LS188:LS189"/>
    <mergeCell ref="MA188:MA189"/>
    <mergeCell ref="VO188:VO189"/>
    <mergeCell ref="VW188:VW189"/>
    <mergeCell ref="WE188:WE189"/>
    <mergeCell ref="WM188:WM189"/>
    <mergeCell ref="WU188:WU189"/>
    <mergeCell ref="UA188:UA189"/>
    <mergeCell ref="UI188:UI189"/>
    <mergeCell ref="UQ188:UQ189"/>
    <mergeCell ref="UY188:UY189"/>
    <mergeCell ref="VG188:VG189"/>
    <mergeCell ref="SM188:SM189"/>
    <mergeCell ref="SU188:SU189"/>
    <mergeCell ref="TC188:TC189"/>
    <mergeCell ref="TK188:TK189"/>
    <mergeCell ref="TS188:TS189"/>
    <mergeCell ref="QY188:QY189"/>
    <mergeCell ref="RG188:RG189"/>
    <mergeCell ref="RO188:RO189"/>
    <mergeCell ref="RW188:RW189"/>
    <mergeCell ref="SE188:SE189"/>
    <mergeCell ref="ABS188:ABS189"/>
    <mergeCell ref="ACA188:ACA189"/>
    <mergeCell ref="ACI188:ACI189"/>
    <mergeCell ref="ACQ188:ACQ189"/>
    <mergeCell ref="ACY188:ACY189"/>
    <mergeCell ref="AAE188:AAE189"/>
    <mergeCell ref="AAM188:AAM189"/>
    <mergeCell ref="AAU188:AAU189"/>
    <mergeCell ref="ABC188:ABC189"/>
    <mergeCell ref="ABK188:ABK189"/>
    <mergeCell ref="YQ188:YQ189"/>
    <mergeCell ref="YY188:YY189"/>
    <mergeCell ref="ZG188:ZG189"/>
    <mergeCell ref="ZO188:ZO189"/>
    <mergeCell ref="ZW188:ZW189"/>
    <mergeCell ref="XC188:XC189"/>
    <mergeCell ref="XK188:XK189"/>
    <mergeCell ref="XS188:XS189"/>
    <mergeCell ref="YA188:YA189"/>
    <mergeCell ref="YI188:YI189"/>
    <mergeCell ref="AHW188:AHW189"/>
    <mergeCell ref="AIE188:AIE189"/>
    <mergeCell ref="AIM188:AIM189"/>
    <mergeCell ref="AIU188:AIU189"/>
    <mergeCell ref="AJC188:AJC189"/>
    <mergeCell ref="AGI188:AGI189"/>
    <mergeCell ref="AGQ188:AGQ189"/>
    <mergeCell ref="AGY188:AGY189"/>
    <mergeCell ref="AHG188:AHG189"/>
    <mergeCell ref="AHO188:AHO189"/>
    <mergeCell ref="AEU188:AEU189"/>
    <mergeCell ref="AFC188:AFC189"/>
    <mergeCell ref="AFK188:AFK189"/>
    <mergeCell ref="AFS188:AFS189"/>
    <mergeCell ref="AGA188:AGA189"/>
    <mergeCell ref="ADG188:ADG189"/>
    <mergeCell ref="ADO188:ADO189"/>
    <mergeCell ref="ADW188:ADW189"/>
    <mergeCell ref="AEE188:AEE189"/>
    <mergeCell ref="AEM188:AEM189"/>
    <mergeCell ref="AOA188:AOA189"/>
    <mergeCell ref="AOI188:AOI189"/>
    <mergeCell ref="AOQ188:AOQ189"/>
    <mergeCell ref="AOY188:AOY189"/>
    <mergeCell ref="APG188:APG189"/>
    <mergeCell ref="AMM188:AMM189"/>
    <mergeCell ref="AMU188:AMU189"/>
    <mergeCell ref="ANC188:ANC189"/>
    <mergeCell ref="ANK188:ANK189"/>
    <mergeCell ref="ANS188:ANS189"/>
    <mergeCell ref="AKY188:AKY189"/>
    <mergeCell ref="ALG188:ALG189"/>
    <mergeCell ref="ALO188:ALO189"/>
    <mergeCell ref="ALW188:ALW189"/>
    <mergeCell ref="AME188:AME189"/>
    <mergeCell ref="AJK188:AJK189"/>
    <mergeCell ref="AJS188:AJS189"/>
    <mergeCell ref="AKA188:AKA189"/>
    <mergeCell ref="AKI188:AKI189"/>
    <mergeCell ref="AKQ188:AKQ189"/>
    <mergeCell ref="AUE188:AUE189"/>
    <mergeCell ref="AUM188:AUM189"/>
    <mergeCell ref="AUU188:AUU189"/>
    <mergeCell ref="AVC188:AVC189"/>
    <mergeCell ref="AVK188:AVK189"/>
    <mergeCell ref="ASQ188:ASQ189"/>
    <mergeCell ref="ASY188:ASY189"/>
    <mergeCell ref="ATG188:ATG189"/>
    <mergeCell ref="ATO188:ATO189"/>
    <mergeCell ref="ATW188:ATW189"/>
    <mergeCell ref="ARC188:ARC189"/>
    <mergeCell ref="ARK188:ARK189"/>
    <mergeCell ref="ARS188:ARS189"/>
    <mergeCell ref="ASA188:ASA189"/>
    <mergeCell ref="ASI188:ASI189"/>
    <mergeCell ref="APO188:APO189"/>
    <mergeCell ref="APW188:APW189"/>
    <mergeCell ref="AQE188:AQE189"/>
    <mergeCell ref="AQM188:AQM189"/>
    <mergeCell ref="AQU188:AQU189"/>
    <mergeCell ref="BAI188:BAI189"/>
    <mergeCell ref="BAQ188:BAQ189"/>
    <mergeCell ref="BAY188:BAY189"/>
    <mergeCell ref="BBG188:BBG189"/>
    <mergeCell ref="BBO188:BBO189"/>
    <mergeCell ref="AYU188:AYU189"/>
    <mergeCell ref="AZC188:AZC189"/>
    <mergeCell ref="AZK188:AZK189"/>
    <mergeCell ref="AZS188:AZS189"/>
    <mergeCell ref="BAA188:BAA189"/>
    <mergeCell ref="AXG188:AXG189"/>
    <mergeCell ref="AXO188:AXO189"/>
    <mergeCell ref="AXW188:AXW189"/>
    <mergeCell ref="AYE188:AYE189"/>
    <mergeCell ref="AYM188:AYM189"/>
    <mergeCell ref="AVS188:AVS189"/>
    <mergeCell ref="AWA188:AWA189"/>
    <mergeCell ref="AWI188:AWI189"/>
    <mergeCell ref="AWQ188:AWQ189"/>
    <mergeCell ref="AWY188:AWY189"/>
    <mergeCell ref="BGM188:BGM189"/>
    <mergeCell ref="BGU188:BGU189"/>
    <mergeCell ref="BHC188:BHC189"/>
    <mergeCell ref="BHK188:BHK189"/>
    <mergeCell ref="BHS188:BHS189"/>
    <mergeCell ref="BEY188:BEY189"/>
    <mergeCell ref="BFG188:BFG189"/>
    <mergeCell ref="BFO188:BFO189"/>
    <mergeCell ref="BFW188:BFW189"/>
    <mergeCell ref="BGE188:BGE189"/>
    <mergeCell ref="BDK188:BDK189"/>
    <mergeCell ref="BDS188:BDS189"/>
    <mergeCell ref="BEA188:BEA189"/>
    <mergeCell ref="BEI188:BEI189"/>
    <mergeCell ref="BEQ188:BEQ189"/>
    <mergeCell ref="BBW188:BBW189"/>
    <mergeCell ref="BCE188:BCE189"/>
    <mergeCell ref="BCM188:BCM189"/>
    <mergeCell ref="BCU188:BCU189"/>
    <mergeCell ref="BDC188:BDC189"/>
    <mergeCell ref="BMQ188:BMQ189"/>
    <mergeCell ref="BMY188:BMY189"/>
    <mergeCell ref="BNG188:BNG189"/>
    <mergeCell ref="BNO188:BNO189"/>
    <mergeCell ref="BNW188:BNW189"/>
    <mergeCell ref="BLC188:BLC189"/>
    <mergeCell ref="BLK188:BLK189"/>
    <mergeCell ref="BLS188:BLS189"/>
    <mergeCell ref="BMA188:BMA189"/>
    <mergeCell ref="BMI188:BMI189"/>
    <mergeCell ref="BJO188:BJO189"/>
    <mergeCell ref="BJW188:BJW189"/>
    <mergeCell ref="BKE188:BKE189"/>
    <mergeCell ref="BKM188:BKM189"/>
    <mergeCell ref="BKU188:BKU189"/>
    <mergeCell ref="BIA188:BIA189"/>
    <mergeCell ref="BII188:BII189"/>
    <mergeCell ref="BIQ188:BIQ189"/>
    <mergeCell ref="BIY188:BIY189"/>
    <mergeCell ref="BJG188:BJG189"/>
    <mergeCell ref="BSU188:BSU189"/>
    <mergeCell ref="BTC188:BTC189"/>
    <mergeCell ref="BTK188:BTK189"/>
    <mergeCell ref="BTS188:BTS189"/>
    <mergeCell ref="BUA188:BUA189"/>
    <mergeCell ref="BRG188:BRG189"/>
    <mergeCell ref="BRO188:BRO189"/>
    <mergeCell ref="BRW188:BRW189"/>
    <mergeCell ref="BSE188:BSE189"/>
    <mergeCell ref="BSM188:BSM189"/>
    <mergeCell ref="BPS188:BPS189"/>
    <mergeCell ref="BQA188:BQA189"/>
    <mergeCell ref="BQI188:BQI189"/>
    <mergeCell ref="BQQ188:BQQ189"/>
    <mergeCell ref="BQY188:BQY189"/>
    <mergeCell ref="BOE188:BOE189"/>
    <mergeCell ref="BOM188:BOM189"/>
    <mergeCell ref="BOU188:BOU189"/>
    <mergeCell ref="BPC188:BPC189"/>
    <mergeCell ref="BPK188:BPK189"/>
    <mergeCell ref="BYY188:BYY189"/>
    <mergeCell ref="BZG188:BZG189"/>
    <mergeCell ref="BZO188:BZO189"/>
    <mergeCell ref="BZW188:BZW189"/>
    <mergeCell ref="CAE188:CAE189"/>
    <mergeCell ref="BXK188:BXK189"/>
    <mergeCell ref="BXS188:BXS189"/>
    <mergeCell ref="BYA188:BYA189"/>
    <mergeCell ref="BYI188:BYI189"/>
    <mergeCell ref="BYQ188:BYQ189"/>
    <mergeCell ref="BVW188:BVW189"/>
    <mergeCell ref="BWE188:BWE189"/>
    <mergeCell ref="BWM188:BWM189"/>
    <mergeCell ref="BWU188:BWU189"/>
    <mergeCell ref="BXC188:BXC189"/>
    <mergeCell ref="BUI188:BUI189"/>
    <mergeCell ref="BUQ188:BUQ189"/>
    <mergeCell ref="BUY188:BUY189"/>
    <mergeCell ref="BVG188:BVG189"/>
    <mergeCell ref="BVO188:BVO189"/>
    <mergeCell ref="CFC188:CFC189"/>
    <mergeCell ref="CFK188:CFK189"/>
    <mergeCell ref="CFS188:CFS189"/>
    <mergeCell ref="CGA188:CGA189"/>
    <mergeCell ref="CGI188:CGI189"/>
    <mergeCell ref="CDO188:CDO189"/>
    <mergeCell ref="CDW188:CDW189"/>
    <mergeCell ref="CEE188:CEE189"/>
    <mergeCell ref="CEM188:CEM189"/>
    <mergeCell ref="CEU188:CEU189"/>
    <mergeCell ref="CCA188:CCA189"/>
    <mergeCell ref="CCI188:CCI189"/>
    <mergeCell ref="CCQ188:CCQ189"/>
    <mergeCell ref="CCY188:CCY189"/>
    <mergeCell ref="CDG188:CDG189"/>
    <mergeCell ref="CAM188:CAM189"/>
    <mergeCell ref="CAU188:CAU189"/>
    <mergeCell ref="CBC188:CBC189"/>
    <mergeCell ref="CBK188:CBK189"/>
    <mergeCell ref="CBS188:CBS189"/>
    <mergeCell ref="CLG188:CLG189"/>
    <mergeCell ref="CLO188:CLO189"/>
    <mergeCell ref="CLW188:CLW189"/>
    <mergeCell ref="CME188:CME189"/>
    <mergeCell ref="CMM188:CMM189"/>
    <mergeCell ref="CJS188:CJS189"/>
    <mergeCell ref="CKA188:CKA189"/>
    <mergeCell ref="CKI188:CKI189"/>
    <mergeCell ref="CKQ188:CKQ189"/>
    <mergeCell ref="CKY188:CKY189"/>
    <mergeCell ref="CIE188:CIE189"/>
    <mergeCell ref="CIM188:CIM189"/>
    <mergeCell ref="CIU188:CIU189"/>
    <mergeCell ref="CJC188:CJC189"/>
    <mergeCell ref="CJK188:CJK189"/>
    <mergeCell ref="CGQ188:CGQ189"/>
    <mergeCell ref="CGY188:CGY189"/>
    <mergeCell ref="CHG188:CHG189"/>
    <mergeCell ref="CHO188:CHO189"/>
    <mergeCell ref="CHW188:CHW189"/>
    <mergeCell ref="CRK188:CRK189"/>
    <mergeCell ref="CRS188:CRS189"/>
    <mergeCell ref="CSA188:CSA189"/>
    <mergeCell ref="CSI188:CSI189"/>
    <mergeCell ref="CSQ188:CSQ189"/>
    <mergeCell ref="CPW188:CPW189"/>
    <mergeCell ref="CQE188:CQE189"/>
    <mergeCell ref="CQM188:CQM189"/>
    <mergeCell ref="CQU188:CQU189"/>
    <mergeCell ref="CRC188:CRC189"/>
    <mergeCell ref="COI188:COI189"/>
    <mergeCell ref="COQ188:COQ189"/>
    <mergeCell ref="COY188:COY189"/>
    <mergeCell ref="CPG188:CPG189"/>
    <mergeCell ref="CPO188:CPO189"/>
    <mergeCell ref="CMU188:CMU189"/>
    <mergeCell ref="CNC188:CNC189"/>
    <mergeCell ref="CNK188:CNK189"/>
    <mergeCell ref="CNS188:CNS189"/>
    <mergeCell ref="COA188:COA189"/>
    <mergeCell ref="CXO188:CXO189"/>
    <mergeCell ref="CXW188:CXW189"/>
    <mergeCell ref="CYE188:CYE189"/>
    <mergeCell ref="CYM188:CYM189"/>
    <mergeCell ref="CYU188:CYU189"/>
    <mergeCell ref="CWA188:CWA189"/>
    <mergeCell ref="CWI188:CWI189"/>
    <mergeCell ref="CWQ188:CWQ189"/>
    <mergeCell ref="CWY188:CWY189"/>
    <mergeCell ref="CXG188:CXG189"/>
    <mergeCell ref="CUM188:CUM189"/>
    <mergeCell ref="CUU188:CUU189"/>
    <mergeCell ref="CVC188:CVC189"/>
    <mergeCell ref="CVK188:CVK189"/>
    <mergeCell ref="CVS188:CVS189"/>
    <mergeCell ref="CSY188:CSY189"/>
    <mergeCell ref="CTG188:CTG189"/>
    <mergeCell ref="CTO188:CTO189"/>
    <mergeCell ref="CTW188:CTW189"/>
    <mergeCell ref="CUE188:CUE189"/>
    <mergeCell ref="DDS188:DDS189"/>
    <mergeCell ref="DEA188:DEA189"/>
    <mergeCell ref="DEI188:DEI189"/>
    <mergeCell ref="DEQ188:DEQ189"/>
    <mergeCell ref="DEY188:DEY189"/>
    <mergeCell ref="DCE188:DCE189"/>
    <mergeCell ref="DCM188:DCM189"/>
    <mergeCell ref="DCU188:DCU189"/>
    <mergeCell ref="DDC188:DDC189"/>
    <mergeCell ref="DDK188:DDK189"/>
    <mergeCell ref="DAQ188:DAQ189"/>
    <mergeCell ref="DAY188:DAY189"/>
    <mergeCell ref="DBG188:DBG189"/>
    <mergeCell ref="DBO188:DBO189"/>
    <mergeCell ref="DBW188:DBW189"/>
    <mergeCell ref="CZC188:CZC189"/>
    <mergeCell ref="CZK188:CZK189"/>
    <mergeCell ref="CZS188:CZS189"/>
    <mergeCell ref="DAA188:DAA189"/>
    <mergeCell ref="DAI188:DAI189"/>
    <mergeCell ref="DJW188:DJW189"/>
    <mergeCell ref="DKE188:DKE189"/>
    <mergeCell ref="DKM188:DKM189"/>
    <mergeCell ref="DKU188:DKU189"/>
    <mergeCell ref="DLC188:DLC189"/>
    <mergeCell ref="DII188:DII189"/>
    <mergeCell ref="DIQ188:DIQ189"/>
    <mergeCell ref="DIY188:DIY189"/>
    <mergeCell ref="DJG188:DJG189"/>
    <mergeCell ref="DJO188:DJO189"/>
    <mergeCell ref="DGU188:DGU189"/>
    <mergeCell ref="DHC188:DHC189"/>
    <mergeCell ref="DHK188:DHK189"/>
    <mergeCell ref="DHS188:DHS189"/>
    <mergeCell ref="DIA188:DIA189"/>
    <mergeCell ref="DFG188:DFG189"/>
    <mergeCell ref="DFO188:DFO189"/>
    <mergeCell ref="DFW188:DFW189"/>
    <mergeCell ref="DGE188:DGE189"/>
    <mergeCell ref="DGM188:DGM189"/>
    <mergeCell ref="DQA188:DQA189"/>
    <mergeCell ref="DQI188:DQI189"/>
    <mergeCell ref="DQQ188:DQQ189"/>
    <mergeCell ref="DQY188:DQY189"/>
    <mergeCell ref="DRG188:DRG189"/>
    <mergeCell ref="DOM188:DOM189"/>
    <mergeCell ref="DOU188:DOU189"/>
    <mergeCell ref="DPC188:DPC189"/>
    <mergeCell ref="DPK188:DPK189"/>
    <mergeCell ref="DPS188:DPS189"/>
    <mergeCell ref="DMY188:DMY189"/>
    <mergeCell ref="DNG188:DNG189"/>
    <mergeCell ref="DNO188:DNO189"/>
    <mergeCell ref="DNW188:DNW189"/>
    <mergeCell ref="DOE188:DOE189"/>
    <mergeCell ref="DLK188:DLK189"/>
    <mergeCell ref="DLS188:DLS189"/>
    <mergeCell ref="DMA188:DMA189"/>
    <mergeCell ref="DMI188:DMI189"/>
    <mergeCell ref="DMQ188:DMQ189"/>
    <mergeCell ref="DWE188:DWE189"/>
    <mergeCell ref="DWM188:DWM189"/>
    <mergeCell ref="DWU188:DWU189"/>
    <mergeCell ref="DXC188:DXC189"/>
    <mergeCell ref="DXK188:DXK189"/>
    <mergeCell ref="DUQ188:DUQ189"/>
    <mergeCell ref="DUY188:DUY189"/>
    <mergeCell ref="DVG188:DVG189"/>
    <mergeCell ref="DVO188:DVO189"/>
    <mergeCell ref="DVW188:DVW189"/>
    <mergeCell ref="DTC188:DTC189"/>
    <mergeCell ref="DTK188:DTK189"/>
    <mergeCell ref="DTS188:DTS189"/>
    <mergeCell ref="DUA188:DUA189"/>
    <mergeCell ref="DUI188:DUI189"/>
    <mergeCell ref="DRO188:DRO189"/>
    <mergeCell ref="DRW188:DRW189"/>
    <mergeCell ref="DSE188:DSE189"/>
    <mergeCell ref="DSM188:DSM189"/>
    <mergeCell ref="DSU188:DSU189"/>
    <mergeCell ref="ECI188:ECI189"/>
    <mergeCell ref="ECQ188:ECQ189"/>
    <mergeCell ref="ECY188:ECY189"/>
    <mergeCell ref="EDG188:EDG189"/>
    <mergeCell ref="EDO188:EDO189"/>
    <mergeCell ref="EAU188:EAU189"/>
    <mergeCell ref="EBC188:EBC189"/>
    <mergeCell ref="EBK188:EBK189"/>
    <mergeCell ref="EBS188:EBS189"/>
    <mergeCell ref="ECA188:ECA189"/>
    <mergeCell ref="DZG188:DZG189"/>
    <mergeCell ref="DZO188:DZO189"/>
    <mergeCell ref="DZW188:DZW189"/>
    <mergeCell ref="EAE188:EAE189"/>
    <mergeCell ref="EAM188:EAM189"/>
    <mergeCell ref="DXS188:DXS189"/>
    <mergeCell ref="DYA188:DYA189"/>
    <mergeCell ref="DYI188:DYI189"/>
    <mergeCell ref="DYQ188:DYQ189"/>
    <mergeCell ref="DYY188:DYY189"/>
    <mergeCell ref="EIM188:EIM189"/>
    <mergeCell ref="EIU188:EIU189"/>
    <mergeCell ref="EJC188:EJC189"/>
    <mergeCell ref="EJK188:EJK189"/>
    <mergeCell ref="EJS188:EJS189"/>
    <mergeCell ref="EGY188:EGY189"/>
    <mergeCell ref="EHG188:EHG189"/>
    <mergeCell ref="EHO188:EHO189"/>
    <mergeCell ref="EHW188:EHW189"/>
    <mergeCell ref="EIE188:EIE189"/>
    <mergeCell ref="EFK188:EFK189"/>
    <mergeCell ref="EFS188:EFS189"/>
    <mergeCell ref="EGA188:EGA189"/>
    <mergeCell ref="EGI188:EGI189"/>
    <mergeCell ref="EGQ188:EGQ189"/>
    <mergeCell ref="EDW188:EDW189"/>
    <mergeCell ref="EEE188:EEE189"/>
    <mergeCell ref="EEM188:EEM189"/>
    <mergeCell ref="EEU188:EEU189"/>
    <mergeCell ref="EFC188:EFC189"/>
    <mergeCell ref="EOQ188:EOQ189"/>
    <mergeCell ref="EOY188:EOY189"/>
    <mergeCell ref="EPG188:EPG189"/>
    <mergeCell ref="EPO188:EPO189"/>
    <mergeCell ref="EPW188:EPW189"/>
    <mergeCell ref="ENC188:ENC189"/>
    <mergeCell ref="ENK188:ENK189"/>
    <mergeCell ref="ENS188:ENS189"/>
    <mergeCell ref="EOA188:EOA189"/>
    <mergeCell ref="EOI188:EOI189"/>
    <mergeCell ref="ELO188:ELO189"/>
    <mergeCell ref="ELW188:ELW189"/>
    <mergeCell ref="EME188:EME189"/>
    <mergeCell ref="EMM188:EMM189"/>
    <mergeCell ref="EMU188:EMU189"/>
    <mergeCell ref="EKA188:EKA189"/>
    <mergeCell ref="EKI188:EKI189"/>
    <mergeCell ref="EKQ188:EKQ189"/>
    <mergeCell ref="EKY188:EKY189"/>
    <mergeCell ref="ELG188:ELG189"/>
    <mergeCell ref="EUU188:EUU189"/>
    <mergeCell ref="EVC188:EVC189"/>
    <mergeCell ref="EVK188:EVK189"/>
    <mergeCell ref="EVS188:EVS189"/>
    <mergeCell ref="EWA188:EWA189"/>
    <mergeCell ref="ETG188:ETG189"/>
    <mergeCell ref="ETO188:ETO189"/>
    <mergeCell ref="ETW188:ETW189"/>
    <mergeCell ref="EUE188:EUE189"/>
    <mergeCell ref="EUM188:EUM189"/>
    <mergeCell ref="ERS188:ERS189"/>
    <mergeCell ref="ESA188:ESA189"/>
    <mergeCell ref="ESI188:ESI189"/>
    <mergeCell ref="ESQ188:ESQ189"/>
    <mergeCell ref="ESY188:ESY189"/>
    <mergeCell ref="EQE188:EQE189"/>
    <mergeCell ref="EQM188:EQM189"/>
    <mergeCell ref="EQU188:EQU189"/>
    <mergeCell ref="ERC188:ERC189"/>
    <mergeCell ref="ERK188:ERK189"/>
    <mergeCell ref="FAY188:FAY189"/>
    <mergeCell ref="FBG188:FBG189"/>
    <mergeCell ref="FBO188:FBO189"/>
    <mergeCell ref="FBW188:FBW189"/>
    <mergeCell ref="FCE188:FCE189"/>
    <mergeCell ref="EZK188:EZK189"/>
    <mergeCell ref="EZS188:EZS189"/>
    <mergeCell ref="FAA188:FAA189"/>
    <mergeCell ref="FAI188:FAI189"/>
    <mergeCell ref="FAQ188:FAQ189"/>
    <mergeCell ref="EXW188:EXW189"/>
    <mergeCell ref="EYE188:EYE189"/>
    <mergeCell ref="EYM188:EYM189"/>
    <mergeCell ref="EYU188:EYU189"/>
    <mergeCell ref="EZC188:EZC189"/>
    <mergeCell ref="EWI188:EWI189"/>
    <mergeCell ref="EWQ188:EWQ189"/>
    <mergeCell ref="EWY188:EWY189"/>
    <mergeCell ref="EXG188:EXG189"/>
    <mergeCell ref="EXO188:EXO189"/>
    <mergeCell ref="FHC188:FHC189"/>
    <mergeCell ref="FHK188:FHK189"/>
    <mergeCell ref="FHS188:FHS189"/>
    <mergeCell ref="FIA188:FIA189"/>
    <mergeCell ref="FII188:FII189"/>
    <mergeCell ref="FFO188:FFO189"/>
    <mergeCell ref="FFW188:FFW189"/>
    <mergeCell ref="FGE188:FGE189"/>
    <mergeCell ref="FGM188:FGM189"/>
    <mergeCell ref="FGU188:FGU189"/>
    <mergeCell ref="FEA188:FEA189"/>
    <mergeCell ref="FEI188:FEI189"/>
    <mergeCell ref="FEQ188:FEQ189"/>
    <mergeCell ref="FEY188:FEY189"/>
    <mergeCell ref="FFG188:FFG189"/>
    <mergeCell ref="FCM188:FCM189"/>
    <mergeCell ref="FCU188:FCU189"/>
    <mergeCell ref="FDC188:FDC189"/>
    <mergeCell ref="FDK188:FDK189"/>
    <mergeCell ref="FDS188:FDS189"/>
    <mergeCell ref="FNG188:FNG189"/>
    <mergeCell ref="FNO188:FNO189"/>
    <mergeCell ref="FNW188:FNW189"/>
    <mergeCell ref="FOE188:FOE189"/>
    <mergeCell ref="FOM188:FOM189"/>
    <mergeCell ref="FLS188:FLS189"/>
    <mergeCell ref="FMA188:FMA189"/>
    <mergeCell ref="FMI188:FMI189"/>
    <mergeCell ref="FMQ188:FMQ189"/>
    <mergeCell ref="FMY188:FMY189"/>
    <mergeCell ref="FKE188:FKE189"/>
    <mergeCell ref="FKM188:FKM189"/>
    <mergeCell ref="FKU188:FKU189"/>
    <mergeCell ref="FLC188:FLC189"/>
    <mergeCell ref="FLK188:FLK189"/>
    <mergeCell ref="FIQ188:FIQ189"/>
    <mergeCell ref="FIY188:FIY189"/>
    <mergeCell ref="FJG188:FJG189"/>
    <mergeCell ref="FJO188:FJO189"/>
    <mergeCell ref="FJW188:FJW189"/>
    <mergeCell ref="FTK188:FTK189"/>
    <mergeCell ref="FTS188:FTS189"/>
    <mergeCell ref="FUA188:FUA189"/>
    <mergeCell ref="FUI188:FUI189"/>
    <mergeCell ref="FUQ188:FUQ189"/>
    <mergeCell ref="FRW188:FRW189"/>
    <mergeCell ref="FSE188:FSE189"/>
    <mergeCell ref="FSM188:FSM189"/>
    <mergeCell ref="FSU188:FSU189"/>
    <mergeCell ref="FTC188:FTC189"/>
    <mergeCell ref="FQI188:FQI189"/>
    <mergeCell ref="FQQ188:FQQ189"/>
    <mergeCell ref="FQY188:FQY189"/>
    <mergeCell ref="FRG188:FRG189"/>
    <mergeCell ref="FRO188:FRO189"/>
    <mergeCell ref="FOU188:FOU189"/>
    <mergeCell ref="FPC188:FPC189"/>
    <mergeCell ref="FPK188:FPK189"/>
    <mergeCell ref="FPS188:FPS189"/>
    <mergeCell ref="FQA188:FQA189"/>
    <mergeCell ref="FZO188:FZO189"/>
    <mergeCell ref="FZW188:FZW189"/>
    <mergeCell ref="GAE188:GAE189"/>
    <mergeCell ref="GAM188:GAM189"/>
    <mergeCell ref="GAU188:GAU189"/>
    <mergeCell ref="FYA188:FYA189"/>
    <mergeCell ref="FYI188:FYI189"/>
    <mergeCell ref="FYQ188:FYQ189"/>
    <mergeCell ref="FYY188:FYY189"/>
    <mergeCell ref="FZG188:FZG189"/>
    <mergeCell ref="FWM188:FWM189"/>
    <mergeCell ref="FWU188:FWU189"/>
    <mergeCell ref="FXC188:FXC189"/>
    <mergeCell ref="FXK188:FXK189"/>
    <mergeCell ref="FXS188:FXS189"/>
    <mergeCell ref="FUY188:FUY189"/>
    <mergeCell ref="FVG188:FVG189"/>
    <mergeCell ref="FVO188:FVO189"/>
    <mergeCell ref="FVW188:FVW189"/>
    <mergeCell ref="FWE188:FWE189"/>
    <mergeCell ref="GFS188:GFS189"/>
    <mergeCell ref="GGA188:GGA189"/>
    <mergeCell ref="GGI188:GGI189"/>
    <mergeCell ref="GGQ188:GGQ189"/>
    <mergeCell ref="GGY188:GGY189"/>
    <mergeCell ref="GEE188:GEE189"/>
    <mergeCell ref="GEM188:GEM189"/>
    <mergeCell ref="GEU188:GEU189"/>
    <mergeCell ref="GFC188:GFC189"/>
    <mergeCell ref="GFK188:GFK189"/>
    <mergeCell ref="GCQ188:GCQ189"/>
    <mergeCell ref="GCY188:GCY189"/>
    <mergeCell ref="GDG188:GDG189"/>
    <mergeCell ref="GDO188:GDO189"/>
    <mergeCell ref="GDW188:GDW189"/>
    <mergeCell ref="GBC188:GBC189"/>
    <mergeCell ref="GBK188:GBK189"/>
    <mergeCell ref="GBS188:GBS189"/>
    <mergeCell ref="GCA188:GCA189"/>
    <mergeCell ref="GCI188:GCI189"/>
    <mergeCell ref="GLW188:GLW189"/>
    <mergeCell ref="GME188:GME189"/>
    <mergeCell ref="GMM188:GMM189"/>
    <mergeCell ref="GMU188:GMU189"/>
    <mergeCell ref="GNC188:GNC189"/>
    <mergeCell ref="GKI188:GKI189"/>
    <mergeCell ref="GKQ188:GKQ189"/>
    <mergeCell ref="GKY188:GKY189"/>
    <mergeCell ref="GLG188:GLG189"/>
    <mergeCell ref="GLO188:GLO189"/>
    <mergeCell ref="GIU188:GIU189"/>
    <mergeCell ref="GJC188:GJC189"/>
    <mergeCell ref="GJK188:GJK189"/>
    <mergeCell ref="GJS188:GJS189"/>
    <mergeCell ref="GKA188:GKA189"/>
    <mergeCell ref="GHG188:GHG189"/>
    <mergeCell ref="GHO188:GHO189"/>
    <mergeCell ref="GHW188:GHW189"/>
    <mergeCell ref="GIE188:GIE189"/>
    <mergeCell ref="GIM188:GIM189"/>
    <mergeCell ref="GSA188:GSA189"/>
    <mergeCell ref="GSI188:GSI189"/>
    <mergeCell ref="GSQ188:GSQ189"/>
    <mergeCell ref="GSY188:GSY189"/>
    <mergeCell ref="GTG188:GTG189"/>
    <mergeCell ref="GQM188:GQM189"/>
    <mergeCell ref="GQU188:GQU189"/>
    <mergeCell ref="GRC188:GRC189"/>
    <mergeCell ref="GRK188:GRK189"/>
    <mergeCell ref="GRS188:GRS189"/>
    <mergeCell ref="GOY188:GOY189"/>
    <mergeCell ref="GPG188:GPG189"/>
    <mergeCell ref="GPO188:GPO189"/>
    <mergeCell ref="GPW188:GPW189"/>
    <mergeCell ref="GQE188:GQE189"/>
    <mergeCell ref="GNK188:GNK189"/>
    <mergeCell ref="GNS188:GNS189"/>
    <mergeCell ref="GOA188:GOA189"/>
    <mergeCell ref="GOI188:GOI189"/>
    <mergeCell ref="GOQ188:GOQ189"/>
    <mergeCell ref="GYE188:GYE189"/>
    <mergeCell ref="GYM188:GYM189"/>
    <mergeCell ref="GYU188:GYU189"/>
    <mergeCell ref="GZC188:GZC189"/>
    <mergeCell ref="GZK188:GZK189"/>
    <mergeCell ref="GWQ188:GWQ189"/>
    <mergeCell ref="GWY188:GWY189"/>
    <mergeCell ref="GXG188:GXG189"/>
    <mergeCell ref="GXO188:GXO189"/>
    <mergeCell ref="GXW188:GXW189"/>
    <mergeCell ref="GVC188:GVC189"/>
    <mergeCell ref="GVK188:GVK189"/>
    <mergeCell ref="GVS188:GVS189"/>
    <mergeCell ref="GWA188:GWA189"/>
    <mergeCell ref="GWI188:GWI189"/>
    <mergeCell ref="GTO188:GTO189"/>
    <mergeCell ref="GTW188:GTW189"/>
    <mergeCell ref="GUE188:GUE189"/>
    <mergeCell ref="GUM188:GUM189"/>
    <mergeCell ref="GUU188:GUU189"/>
    <mergeCell ref="HEI188:HEI189"/>
    <mergeCell ref="HEQ188:HEQ189"/>
    <mergeCell ref="HEY188:HEY189"/>
    <mergeCell ref="HFG188:HFG189"/>
    <mergeCell ref="HFO188:HFO189"/>
    <mergeCell ref="HCU188:HCU189"/>
    <mergeCell ref="HDC188:HDC189"/>
    <mergeCell ref="HDK188:HDK189"/>
    <mergeCell ref="HDS188:HDS189"/>
    <mergeCell ref="HEA188:HEA189"/>
    <mergeCell ref="HBG188:HBG189"/>
    <mergeCell ref="HBO188:HBO189"/>
    <mergeCell ref="HBW188:HBW189"/>
    <mergeCell ref="HCE188:HCE189"/>
    <mergeCell ref="HCM188:HCM189"/>
    <mergeCell ref="GZS188:GZS189"/>
    <mergeCell ref="HAA188:HAA189"/>
    <mergeCell ref="HAI188:HAI189"/>
    <mergeCell ref="HAQ188:HAQ189"/>
    <mergeCell ref="HAY188:HAY189"/>
    <mergeCell ref="HKM188:HKM189"/>
    <mergeCell ref="HKU188:HKU189"/>
    <mergeCell ref="HLC188:HLC189"/>
    <mergeCell ref="HLK188:HLK189"/>
    <mergeCell ref="HLS188:HLS189"/>
    <mergeCell ref="HIY188:HIY189"/>
    <mergeCell ref="HJG188:HJG189"/>
    <mergeCell ref="HJO188:HJO189"/>
    <mergeCell ref="HJW188:HJW189"/>
    <mergeCell ref="HKE188:HKE189"/>
    <mergeCell ref="HHK188:HHK189"/>
    <mergeCell ref="HHS188:HHS189"/>
    <mergeCell ref="HIA188:HIA189"/>
    <mergeCell ref="HII188:HII189"/>
    <mergeCell ref="HIQ188:HIQ189"/>
    <mergeCell ref="HFW188:HFW189"/>
    <mergeCell ref="HGE188:HGE189"/>
    <mergeCell ref="HGM188:HGM189"/>
    <mergeCell ref="HGU188:HGU189"/>
    <mergeCell ref="HHC188:HHC189"/>
    <mergeCell ref="HQQ188:HQQ189"/>
    <mergeCell ref="HQY188:HQY189"/>
    <mergeCell ref="HRG188:HRG189"/>
    <mergeCell ref="HRO188:HRO189"/>
    <mergeCell ref="HRW188:HRW189"/>
    <mergeCell ref="HPC188:HPC189"/>
    <mergeCell ref="HPK188:HPK189"/>
    <mergeCell ref="HPS188:HPS189"/>
    <mergeCell ref="HQA188:HQA189"/>
    <mergeCell ref="HQI188:HQI189"/>
    <mergeCell ref="HNO188:HNO189"/>
    <mergeCell ref="HNW188:HNW189"/>
    <mergeCell ref="HOE188:HOE189"/>
    <mergeCell ref="HOM188:HOM189"/>
    <mergeCell ref="HOU188:HOU189"/>
    <mergeCell ref="HMA188:HMA189"/>
    <mergeCell ref="HMI188:HMI189"/>
    <mergeCell ref="HMQ188:HMQ189"/>
    <mergeCell ref="HMY188:HMY189"/>
    <mergeCell ref="HNG188:HNG189"/>
    <mergeCell ref="HWU188:HWU189"/>
    <mergeCell ref="HXC188:HXC189"/>
    <mergeCell ref="HXK188:HXK189"/>
    <mergeCell ref="HXS188:HXS189"/>
    <mergeCell ref="HYA188:HYA189"/>
    <mergeCell ref="HVG188:HVG189"/>
    <mergeCell ref="HVO188:HVO189"/>
    <mergeCell ref="HVW188:HVW189"/>
    <mergeCell ref="HWE188:HWE189"/>
    <mergeCell ref="HWM188:HWM189"/>
    <mergeCell ref="HTS188:HTS189"/>
    <mergeCell ref="HUA188:HUA189"/>
    <mergeCell ref="HUI188:HUI189"/>
    <mergeCell ref="HUQ188:HUQ189"/>
    <mergeCell ref="HUY188:HUY189"/>
    <mergeCell ref="HSE188:HSE189"/>
    <mergeCell ref="HSM188:HSM189"/>
    <mergeCell ref="HSU188:HSU189"/>
    <mergeCell ref="HTC188:HTC189"/>
    <mergeCell ref="HTK188:HTK189"/>
    <mergeCell ref="ICY188:ICY189"/>
    <mergeCell ref="IDG188:IDG189"/>
    <mergeCell ref="IDO188:IDO189"/>
    <mergeCell ref="IDW188:IDW189"/>
    <mergeCell ref="IEE188:IEE189"/>
    <mergeCell ref="IBK188:IBK189"/>
    <mergeCell ref="IBS188:IBS189"/>
    <mergeCell ref="ICA188:ICA189"/>
    <mergeCell ref="ICI188:ICI189"/>
    <mergeCell ref="ICQ188:ICQ189"/>
    <mergeCell ref="HZW188:HZW189"/>
    <mergeCell ref="IAE188:IAE189"/>
    <mergeCell ref="IAM188:IAM189"/>
    <mergeCell ref="IAU188:IAU189"/>
    <mergeCell ref="IBC188:IBC189"/>
    <mergeCell ref="HYI188:HYI189"/>
    <mergeCell ref="HYQ188:HYQ189"/>
    <mergeCell ref="HYY188:HYY189"/>
    <mergeCell ref="HZG188:HZG189"/>
    <mergeCell ref="HZO188:HZO189"/>
    <mergeCell ref="IJC188:IJC189"/>
    <mergeCell ref="IJK188:IJK189"/>
    <mergeCell ref="IJS188:IJS189"/>
    <mergeCell ref="IKA188:IKA189"/>
    <mergeCell ref="IKI188:IKI189"/>
    <mergeCell ref="IHO188:IHO189"/>
    <mergeCell ref="IHW188:IHW189"/>
    <mergeCell ref="IIE188:IIE189"/>
    <mergeCell ref="IIM188:IIM189"/>
    <mergeCell ref="IIU188:IIU189"/>
    <mergeCell ref="IGA188:IGA189"/>
    <mergeCell ref="IGI188:IGI189"/>
    <mergeCell ref="IGQ188:IGQ189"/>
    <mergeCell ref="IGY188:IGY189"/>
    <mergeCell ref="IHG188:IHG189"/>
    <mergeCell ref="IEM188:IEM189"/>
    <mergeCell ref="IEU188:IEU189"/>
    <mergeCell ref="IFC188:IFC189"/>
    <mergeCell ref="IFK188:IFK189"/>
    <mergeCell ref="IFS188:IFS189"/>
    <mergeCell ref="IPG188:IPG189"/>
    <mergeCell ref="IPO188:IPO189"/>
    <mergeCell ref="IPW188:IPW189"/>
    <mergeCell ref="IQE188:IQE189"/>
    <mergeCell ref="IQM188:IQM189"/>
    <mergeCell ref="INS188:INS189"/>
    <mergeCell ref="IOA188:IOA189"/>
    <mergeCell ref="IOI188:IOI189"/>
    <mergeCell ref="IOQ188:IOQ189"/>
    <mergeCell ref="IOY188:IOY189"/>
    <mergeCell ref="IME188:IME189"/>
    <mergeCell ref="IMM188:IMM189"/>
    <mergeCell ref="IMU188:IMU189"/>
    <mergeCell ref="INC188:INC189"/>
    <mergeCell ref="INK188:INK189"/>
    <mergeCell ref="IKQ188:IKQ189"/>
    <mergeCell ref="IKY188:IKY189"/>
    <mergeCell ref="ILG188:ILG189"/>
    <mergeCell ref="ILO188:ILO189"/>
    <mergeCell ref="ILW188:ILW189"/>
    <mergeCell ref="IVK188:IVK189"/>
    <mergeCell ref="IVS188:IVS189"/>
    <mergeCell ref="IWA188:IWA189"/>
    <mergeCell ref="IWI188:IWI189"/>
    <mergeCell ref="IWQ188:IWQ189"/>
    <mergeCell ref="ITW188:ITW189"/>
    <mergeCell ref="IUE188:IUE189"/>
    <mergeCell ref="IUM188:IUM189"/>
    <mergeCell ref="IUU188:IUU189"/>
    <mergeCell ref="IVC188:IVC189"/>
    <mergeCell ref="ISI188:ISI189"/>
    <mergeCell ref="ISQ188:ISQ189"/>
    <mergeCell ref="ISY188:ISY189"/>
    <mergeCell ref="ITG188:ITG189"/>
    <mergeCell ref="ITO188:ITO189"/>
    <mergeCell ref="IQU188:IQU189"/>
    <mergeCell ref="IRC188:IRC189"/>
    <mergeCell ref="IRK188:IRK189"/>
    <mergeCell ref="IRS188:IRS189"/>
    <mergeCell ref="ISA188:ISA189"/>
    <mergeCell ref="JBO188:JBO189"/>
    <mergeCell ref="JBW188:JBW189"/>
    <mergeCell ref="JCE188:JCE189"/>
    <mergeCell ref="JCM188:JCM189"/>
    <mergeCell ref="JCU188:JCU189"/>
    <mergeCell ref="JAA188:JAA189"/>
    <mergeCell ref="JAI188:JAI189"/>
    <mergeCell ref="JAQ188:JAQ189"/>
    <mergeCell ref="JAY188:JAY189"/>
    <mergeCell ref="JBG188:JBG189"/>
    <mergeCell ref="IYM188:IYM189"/>
    <mergeCell ref="IYU188:IYU189"/>
    <mergeCell ref="IZC188:IZC189"/>
    <mergeCell ref="IZK188:IZK189"/>
    <mergeCell ref="IZS188:IZS189"/>
    <mergeCell ref="IWY188:IWY189"/>
    <mergeCell ref="IXG188:IXG189"/>
    <mergeCell ref="IXO188:IXO189"/>
    <mergeCell ref="IXW188:IXW189"/>
    <mergeCell ref="IYE188:IYE189"/>
    <mergeCell ref="JHS188:JHS189"/>
    <mergeCell ref="JIA188:JIA189"/>
    <mergeCell ref="JII188:JII189"/>
    <mergeCell ref="JIQ188:JIQ189"/>
    <mergeCell ref="JIY188:JIY189"/>
    <mergeCell ref="JGE188:JGE189"/>
    <mergeCell ref="JGM188:JGM189"/>
    <mergeCell ref="JGU188:JGU189"/>
    <mergeCell ref="JHC188:JHC189"/>
    <mergeCell ref="JHK188:JHK189"/>
    <mergeCell ref="JEQ188:JEQ189"/>
    <mergeCell ref="JEY188:JEY189"/>
    <mergeCell ref="JFG188:JFG189"/>
    <mergeCell ref="JFO188:JFO189"/>
    <mergeCell ref="JFW188:JFW189"/>
    <mergeCell ref="JDC188:JDC189"/>
    <mergeCell ref="JDK188:JDK189"/>
    <mergeCell ref="JDS188:JDS189"/>
    <mergeCell ref="JEA188:JEA189"/>
    <mergeCell ref="JEI188:JEI189"/>
    <mergeCell ref="JNW188:JNW189"/>
    <mergeCell ref="JOE188:JOE189"/>
    <mergeCell ref="JOM188:JOM189"/>
    <mergeCell ref="JOU188:JOU189"/>
    <mergeCell ref="JPC188:JPC189"/>
    <mergeCell ref="JMI188:JMI189"/>
    <mergeCell ref="JMQ188:JMQ189"/>
    <mergeCell ref="JMY188:JMY189"/>
    <mergeCell ref="JNG188:JNG189"/>
    <mergeCell ref="JNO188:JNO189"/>
    <mergeCell ref="JKU188:JKU189"/>
    <mergeCell ref="JLC188:JLC189"/>
    <mergeCell ref="JLK188:JLK189"/>
    <mergeCell ref="JLS188:JLS189"/>
    <mergeCell ref="JMA188:JMA189"/>
    <mergeCell ref="JJG188:JJG189"/>
    <mergeCell ref="JJO188:JJO189"/>
    <mergeCell ref="JJW188:JJW189"/>
    <mergeCell ref="JKE188:JKE189"/>
    <mergeCell ref="JKM188:JKM189"/>
    <mergeCell ref="JUA188:JUA189"/>
    <mergeCell ref="JUI188:JUI189"/>
    <mergeCell ref="JUQ188:JUQ189"/>
    <mergeCell ref="JUY188:JUY189"/>
    <mergeCell ref="JVG188:JVG189"/>
    <mergeCell ref="JSM188:JSM189"/>
    <mergeCell ref="JSU188:JSU189"/>
    <mergeCell ref="JTC188:JTC189"/>
    <mergeCell ref="JTK188:JTK189"/>
    <mergeCell ref="JTS188:JTS189"/>
    <mergeCell ref="JQY188:JQY189"/>
    <mergeCell ref="JRG188:JRG189"/>
    <mergeCell ref="JRO188:JRO189"/>
    <mergeCell ref="JRW188:JRW189"/>
    <mergeCell ref="JSE188:JSE189"/>
    <mergeCell ref="JPK188:JPK189"/>
    <mergeCell ref="JPS188:JPS189"/>
    <mergeCell ref="JQA188:JQA189"/>
    <mergeCell ref="JQI188:JQI189"/>
    <mergeCell ref="JQQ188:JQQ189"/>
    <mergeCell ref="KAE188:KAE189"/>
    <mergeCell ref="KAM188:KAM189"/>
    <mergeCell ref="KAU188:KAU189"/>
    <mergeCell ref="KBC188:KBC189"/>
    <mergeCell ref="KBK188:KBK189"/>
    <mergeCell ref="JYQ188:JYQ189"/>
    <mergeCell ref="JYY188:JYY189"/>
    <mergeCell ref="JZG188:JZG189"/>
    <mergeCell ref="JZO188:JZO189"/>
    <mergeCell ref="JZW188:JZW189"/>
    <mergeCell ref="JXC188:JXC189"/>
    <mergeCell ref="JXK188:JXK189"/>
    <mergeCell ref="JXS188:JXS189"/>
    <mergeCell ref="JYA188:JYA189"/>
    <mergeCell ref="JYI188:JYI189"/>
    <mergeCell ref="JVO188:JVO189"/>
    <mergeCell ref="JVW188:JVW189"/>
    <mergeCell ref="JWE188:JWE189"/>
    <mergeCell ref="JWM188:JWM189"/>
    <mergeCell ref="JWU188:JWU189"/>
    <mergeCell ref="KGI188:KGI189"/>
    <mergeCell ref="KGQ188:KGQ189"/>
    <mergeCell ref="KGY188:KGY189"/>
    <mergeCell ref="KHG188:KHG189"/>
    <mergeCell ref="KHO188:KHO189"/>
    <mergeCell ref="KEU188:KEU189"/>
    <mergeCell ref="KFC188:KFC189"/>
    <mergeCell ref="KFK188:KFK189"/>
    <mergeCell ref="KFS188:KFS189"/>
    <mergeCell ref="KGA188:KGA189"/>
    <mergeCell ref="KDG188:KDG189"/>
    <mergeCell ref="KDO188:KDO189"/>
    <mergeCell ref="KDW188:KDW189"/>
    <mergeCell ref="KEE188:KEE189"/>
    <mergeCell ref="KEM188:KEM189"/>
    <mergeCell ref="KBS188:KBS189"/>
    <mergeCell ref="KCA188:KCA189"/>
    <mergeCell ref="KCI188:KCI189"/>
    <mergeCell ref="KCQ188:KCQ189"/>
    <mergeCell ref="KCY188:KCY189"/>
    <mergeCell ref="KMM188:KMM189"/>
    <mergeCell ref="KMU188:KMU189"/>
    <mergeCell ref="KNC188:KNC189"/>
    <mergeCell ref="KNK188:KNK189"/>
    <mergeCell ref="KNS188:KNS189"/>
    <mergeCell ref="KKY188:KKY189"/>
    <mergeCell ref="KLG188:KLG189"/>
    <mergeCell ref="KLO188:KLO189"/>
    <mergeCell ref="KLW188:KLW189"/>
    <mergeCell ref="KME188:KME189"/>
    <mergeCell ref="KJK188:KJK189"/>
    <mergeCell ref="KJS188:KJS189"/>
    <mergeCell ref="KKA188:KKA189"/>
    <mergeCell ref="KKI188:KKI189"/>
    <mergeCell ref="KKQ188:KKQ189"/>
    <mergeCell ref="KHW188:KHW189"/>
    <mergeCell ref="KIE188:KIE189"/>
    <mergeCell ref="KIM188:KIM189"/>
    <mergeCell ref="KIU188:KIU189"/>
    <mergeCell ref="KJC188:KJC189"/>
    <mergeCell ref="KSQ188:KSQ189"/>
    <mergeCell ref="KSY188:KSY189"/>
    <mergeCell ref="KTG188:KTG189"/>
    <mergeCell ref="KTO188:KTO189"/>
    <mergeCell ref="KTW188:KTW189"/>
    <mergeCell ref="KRC188:KRC189"/>
    <mergeCell ref="KRK188:KRK189"/>
    <mergeCell ref="KRS188:KRS189"/>
    <mergeCell ref="KSA188:KSA189"/>
    <mergeCell ref="KSI188:KSI189"/>
    <mergeCell ref="KPO188:KPO189"/>
    <mergeCell ref="KPW188:KPW189"/>
    <mergeCell ref="KQE188:KQE189"/>
    <mergeCell ref="KQM188:KQM189"/>
    <mergeCell ref="KQU188:KQU189"/>
    <mergeCell ref="KOA188:KOA189"/>
    <mergeCell ref="KOI188:KOI189"/>
    <mergeCell ref="KOQ188:KOQ189"/>
    <mergeCell ref="KOY188:KOY189"/>
    <mergeCell ref="KPG188:KPG189"/>
    <mergeCell ref="KYU188:KYU189"/>
    <mergeCell ref="KZC188:KZC189"/>
    <mergeCell ref="KZK188:KZK189"/>
    <mergeCell ref="KZS188:KZS189"/>
    <mergeCell ref="LAA188:LAA189"/>
    <mergeCell ref="KXG188:KXG189"/>
    <mergeCell ref="KXO188:KXO189"/>
    <mergeCell ref="KXW188:KXW189"/>
    <mergeCell ref="KYE188:KYE189"/>
    <mergeCell ref="KYM188:KYM189"/>
    <mergeCell ref="KVS188:KVS189"/>
    <mergeCell ref="KWA188:KWA189"/>
    <mergeCell ref="KWI188:KWI189"/>
    <mergeCell ref="KWQ188:KWQ189"/>
    <mergeCell ref="KWY188:KWY189"/>
    <mergeCell ref="KUE188:KUE189"/>
    <mergeCell ref="KUM188:KUM189"/>
    <mergeCell ref="KUU188:KUU189"/>
    <mergeCell ref="KVC188:KVC189"/>
    <mergeCell ref="KVK188:KVK189"/>
    <mergeCell ref="LEY188:LEY189"/>
    <mergeCell ref="LFG188:LFG189"/>
    <mergeCell ref="LFO188:LFO189"/>
    <mergeCell ref="LFW188:LFW189"/>
    <mergeCell ref="LGE188:LGE189"/>
    <mergeCell ref="LDK188:LDK189"/>
    <mergeCell ref="LDS188:LDS189"/>
    <mergeCell ref="LEA188:LEA189"/>
    <mergeCell ref="LEI188:LEI189"/>
    <mergeCell ref="LEQ188:LEQ189"/>
    <mergeCell ref="LBW188:LBW189"/>
    <mergeCell ref="LCE188:LCE189"/>
    <mergeCell ref="LCM188:LCM189"/>
    <mergeCell ref="LCU188:LCU189"/>
    <mergeCell ref="LDC188:LDC189"/>
    <mergeCell ref="LAI188:LAI189"/>
    <mergeCell ref="LAQ188:LAQ189"/>
    <mergeCell ref="LAY188:LAY189"/>
    <mergeCell ref="LBG188:LBG189"/>
    <mergeCell ref="LBO188:LBO189"/>
    <mergeCell ref="LLC188:LLC189"/>
    <mergeCell ref="LLK188:LLK189"/>
    <mergeCell ref="LLS188:LLS189"/>
    <mergeCell ref="LMA188:LMA189"/>
    <mergeCell ref="LMI188:LMI189"/>
    <mergeCell ref="LJO188:LJO189"/>
    <mergeCell ref="LJW188:LJW189"/>
    <mergeCell ref="LKE188:LKE189"/>
    <mergeCell ref="LKM188:LKM189"/>
    <mergeCell ref="LKU188:LKU189"/>
    <mergeCell ref="LIA188:LIA189"/>
    <mergeCell ref="LII188:LII189"/>
    <mergeCell ref="LIQ188:LIQ189"/>
    <mergeCell ref="LIY188:LIY189"/>
    <mergeCell ref="LJG188:LJG189"/>
    <mergeCell ref="LGM188:LGM189"/>
    <mergeCell ref="LGU188:LGU189"/>
    <mergeCell ref="LHC188:LHC189"/>
    <mergeCell ref="LHK188:LHK189"/>
    <mergeCell ref="LHS188:LHS189"/>
    <mergeCell ref="LRG188:LRG189"/>
    <mergeCell ref="LRO188:LRO189"/>
    <mergeCell ref="LRW188:LRW189"/>
    <mergeCell ref="LSE188:LSE189"/>
    <mergeCell ref="LSM188:LSM189"/>
    <mergeCell ref="LPS188:LPS189"/>
    <mergeCell ref="LQA188:LQA189"/>
    <mergeCell ref="LQI188:LQI189"/>
    <mergeCell ref="LQQ188:LQQ189"/>
    <mergeCell ref="LQY188:LQY189"/>
    <mergeCell ref="LOE188:LOE189"/>
    <mergeCell ref="LOM188:LOM189"/>
    <mergeCell ref="LOU188:LOU189"/>
    <mergeCell ref="LPC188:LPC189"/>
    <mergeCell ref="LPK188:LPK189"/>
    <mergeCell ref="LMQ188:LMQ189"/>
    <mergeCell ref="LMY188:LMY189"/>
    <mergeCell ref="LNG188:LNG189"/>
    <mergeCell ref="LNO188:LNO189"/>
    <mergeCell ref="LNW188:LNW189"/>
    <mergeCell ref="LXK188:LXK189"/>
    <mergeCell ref="LXS188:LXS189"/>
    <mergeCell ref="LYA188:LYA189"/>
    <mergeCell ref="LYI188:LYI189"/>
    <mergeCell ref="LYQ188:LYQ189"/>
    <mergeCell ref="LVW188:LVW189"/>
    <mergeCell ref="LWE188:LWE189"/>
    <mergeCell ref="LWM188:LWM189"/>
    <mergeCell ref="LWU188:LWU189"/>
    <mergeCell ref="LXC188:LXC189"/>
    <mergeCell ref="LUI188:LUI189"/>
    <mergeCell ref="LUQ188:LUQ189"/>
    <mergeCell ref="LUY188:LUY189"/>
    <mergeCell ref="LVG188:LVG189"/>
    <mergeCell ref="LVO188:LVO189"/>
    <mergeCell ref="LSU188:LSU189"/>
    <mergeCell ref="LTC188:LTC189"/>
    <mergeCell ref="LTK188:LTK189"/>
    <mergeCell ref="LTS188:LTS189"/>
    <mergeCell ref="LUA188:LUA189"/>
    <mergeCell ref="MDO188:MDO189"/>
    <mergeCell ref="MDW188:MDW189"/>
    <mergeCell ref="MEE188:MEE189"/>
    <mergeCell ref="MEM188:MEM189"/>
    <mergeCell ref="MEU188:MEU189"/>
    <mergeCell ref="MCA188:MCA189"/>
    <mergeCell ref="MCI188:MCI189"/>
    <mergeCell ref="MCQ188:MCQ189"/>
    <mergeCell ref="MCY188:MCY189"/>
    <mergeCell ref="MDG188:MDG189"/>
    <mergeCell ref="MAM188:MAM189"/>
    <mergeCell ref="MAU188:MAU189"/>
    <mergeCell ref="MBC188:MBC189"/>
    <mergeCell ref="MBK188:MBK189"/>
    <mergeCell ref="MBS188:MBS189"/>
    <mergeCell ref="LYY188:LYY189"/>
    <mergeCell ref="LZG188:LZG189"/>
    <mergeCell ref="LZO188:LZO189"/>
    <mergeCell ref="LZW188:LZW189"/>
    <mergeCell ref="MAE188:MAE189"/>
    <mergeCell ref="MJS188:MJS189"/>
    <mergeCell ref="MKA188:MKA189"/>
    <mergeCell ref="MKI188:MKI189"/>
    <mergeCell ref="MKQ188:MKQ189"/>
    <mergeCell ref="MKY188:MKY189"/>
    <mergeCell ref="MIE188:MIE189"/>
    <mergeCell ref="MIM188:MIM189"/>
    <mergeCell ref="MIU188:MIU189"/>
    <mergeCell ref="MJC188:MJC189"/>
    <mergeCell ref="MJK188:MJK189"/>
    <mergeCell ref="MGQ188:MGQ189"/>
    <mergeCell ref="MGY188:MGY189"/>
    <mergeCell ref="MHG188:MHG189"/>
    <mergeCell ref="MHO188:MHO189"/>
    <mergeCell ref="MHW188:MHW189"/>
    <mergeCell ref="MFC188:MFC189"/>
    <mergeCell ref="MFK188:MFK189"/>
    <mergeCell ref="MFS188:MFS189"/>
    <mergeCell ref="MGA188:MGA189"/>
    <mergeCell ref="MGI188:MGI189"/>
    <mergeCell ref="MPW188:MPW189"/>
    <mergeCell ref="MQE188:MQE189"/>
    <mergeCell ref="MQM188:MQM189"/>
    <mergeCell ref="MQU188:MQU189"/>
    <mergeCell ref="MRC188:MRC189"/>
    <mergeCell ref="MOI188:MOI189"/>
    <mergeCell ref="MOQ188:MOQ189"/>
    <mergeCell ref="MOY188:MOY189"/>
    <mergeCell ref="MPG188:MPG189"/>
    <mergeCell ref="MPO188:MPO189"/>
    <mergeCell ref="MMU188:MMU189"/>
    <mergeCell ref="MNC188:MNC189"/>
    <mergeCell ref="MNK188:MNK189"/>
    <mergeCell ref="MNS188:MNS189"/>
    <mergeCell ref="MOA188:MOA189"/>
    <mergeCell ref="MLG188:MLG189"/>
    <mergeCell ref="MLO188:MLO189"/>
    <mergeCell ref="MLW188:MLW189"/>
    <mergeCell ref="MME188:MME189"/>
    <mergeCell ref="MMM188:MMM189"/>
    <mergeCell ref="MWA188:MWA189"/>
    <mergeCell ref="MWI188:MWI189"/>
    <mergeCell ref="MWQ188:MWQ189"/>
    <mergeCell ref="MWY188:MWY189"/>
    <mergeCell ref="MXG188:MXG189"/>
    <mergeCell ref="MUM188:MUM189"/>
    <mergeCell ref="MUU188:MUU189"/>
    <mergeCell ref="MVC188:MVC189"/>
    <mergeCell ref="MVK188:MVK189"/>
    <mergeCell ref="MVS188:MVS189"/>
    <mergeCell ref="MSY188:MSY189"/>
    <mergeCell ref="MTG188:MTG189"/>
    <mergeCell ref="MTO188:MTO189"/>
    <mergeCell ref="MTW188:MTW189"/>
    <mergeCell ref="MUE188:MUE189"/>
    <mergeCell ref="MRK188:MRK189"/>
    <mergeCell ref="MRS188:MRS189"/>
    <mergeCell ref="MSA188:MSA189"/>
    <mergeCell ref="MSI188:MSI189"/>
    <mergeCell ref="MSQ188:MSQ189"/>
    <mergeCell ref="NCE188:NCE189"/>
    <mergeCell ref="NCM188:NCM189"/>
    <mergeCell ref="NCU188:NCU189"/>
    <mergeCell ref="NDC188:NDC189"/>
    <mergeCell ref="NDK188:NDK189"/>
    <mergeCell ref="NAQ188:NAQ189"/>
    <mergeCell ref="NAY188:NAY189"/>
    <mergeCell ref="NBG188:NBG189"/>
    <mergeCell ref="NBO188:NBO189"/>
    <mergeCell ref="NBW188:NBW189"/>
    <mergeCell ref="MZC188:MZC189"/>
    <mergeCell ref="MZK188:MZK189"/>
    <mergeCell ref="MZS188:MZS189"/>
    <mergeCell ref="NAA188:NAA189"/>
    <mergeCell ref="NAI188:NAI189"/>
    <mergeCell ref="MXO188:MXO189"/>
    <mergeCell ref="MXW188:MXW189"/>
    <mergeCell ref="MYE188:MYE189"/>
    <mergeCell ref="MYM188:MYM189"/>
    <mergeCell ref="MYU188:MYU189"/>
    <mergeCell ref="NII188:NII189"/>
    <mergeCell ref="NIQ188:NIQ189"/>
    <mergeCell ref="NIY188:NIY189"/>
    <mergeCell ref="NJG188:NJG189"/>
    <mergeCell ref="NJO188:NJO189"/>
    <mergeCell ref="NGU188:NGU189"/>
    <mergeCell ref="NHC188:NHC189"/>
    <mergeCell ref="NHK188:NHK189"/>
    <mergeCell ref="NHS188:NHS189"/>
    <mergeCell ref="NIA188:NIA189"/>
    <mergeCell ref="NFG188:NFG189"/>
    <mergeCell ref="NFO188:NFO189"/>
    <mergeCell ref="NFW188:NFW189"/>
    <mergeCell ref="NGE188:NGE189"/>
    <mergeCell ref="NGM188:NGM189"/>
    <mergeCell ref="NDS188:NDS189"/>
    <mergeCell ref="NEA188:NEA189"/>
    <mergeCell ref="NEI188:NEI189"/>
    <mergeCell ref="NEQ188:NEQ189"/>
    <mergeCell ref="NEY188:NEY189"/>
    <mergeCell ref="NOM188:NOM189"/>
    <mergeCell ref="NOU188:NOU189"/>
    <mergeCell ref="NPC188:NPC189"/>
    <mergeCell ref="NPK188:NPK189"/>
    <mergeCell ref="NPS188:NPS189"/>
    <mergeCell ref="NMY188:NMY189"/>
    <mergeCell ref="NNG188:NNG189"/>
    <mergeCell ref="NNO188:NNO189"/>
    <mergeCell ref="NNW188:NNW189"/>
    <mergeCell ref="NOE188:NOE189"/>
    <mergeCell ref="NLK188:NLK189"/>
    <mergeCell ref="NLS188:NLS189"/>
    <mergeCell ref="NMA188:NMA189"/>
    <mergeCell ref="NMI188:NMI189"/>
    <mergeCell ref="NMQ188:NMQ189"/>
    <mergeCell ref="NJW188:NJW189"/>
    <mergeCell ref="NKE188:NKE189"/>
    <mergeCell ref="NKM188:NKM189"/>
    <mergeCell ref="NKU188:NKU189"/>
    <mergeCell ref="NLC188:NLC189"/>
    <mergeCell ref="NUQ188:NUQ189"/>
    <mergeCell ref="NUY188:NUY189"/>
    <mergeCell ref="NVG188:NVG189"/>
    <mergeCell ref="NVO188:NVO189"/>
    <mergeCell ref="NVW188:NVW189"/>
    <mergeCell ref="NTC188:NTC189"/>
    <mergeCell ref="NTK188:NTK189"/>
    <mergeCell ref="NTS188:NTS189"/>
    <mergeCell ref="NUA188:NUA189"/>
    <mergeCell ref="NUI188:NUI189"/>
    <mergeCell ref="NRO188:NRO189"/>
    <mergeCell ref="NRW188:NRW189"/>
    <mergeCell ref="NSE188:NSE189"/>
    <mergeCell ref="NSM188:NSM189"/>
    <mergeCell ref="NSU188:NSU189"/>
    <mergeCell ref="NQA188:NQA189"/>
    <mergeCell ref="NQI188:NQI189"/>
    <mergeCell ref="NQQ188:NQQ189"/>
    <mergeCell ref="NQY188:NQY189"/>
    <mergeCell ref="NRG188:NRG189"/>
    <mergeCell ref="OAU188:OAU189"/>
    <mergeCell ref="OBC188:OBC189"/>
    <mergeCell ref="OBK188:OBK189"/>
    <mergeCell ref="OBS188:OBS189"/>
    <mergeCell ref="OCA188:OCA189"/>
    <mergeCell ref="NZG188:NZG189"/>
    <mergeCell ref="NZO188:NZO189"/>
    <mergeCell ref="NZW188:NZW189"/>
    <mergeCell ref="OAE188:OAE189"/>
    <mergeCell ref="OAM188:OAM189"/>
    <mergeCell ref="NXS188:NXS189"/>
    <mergeCell ref="NYA188:NYA189"/>
    <mergeCell ref="NYI188:NYI189"/>
    <mergeCell ref="NYQ188:NYQ189"/>
    <mergeCell ref="NYY188:NYY189"/>
    <mergeCell ref="NWE188:NWE189"/>
    <mergeCell ref="NWM188:NWM189"/>
    <mergeCell ref="NWU188:NWU189"/>
    <mergeCell ref="NXC188:NXC189"/>
    <mergeCell ref="NXK188:NXK189"/>
    <mergeCell ref="OGY188:OGY189"/>
    <mergeCell ref="OHG188:OHG189"/>
    <mergeCell ref="OHO188:OHO189"/>
    <mergeCell ref="OHW188:OHW189"/>
    <mergeCell ref="OIE188:OIE189"/>
    <mergeCell ref="OFK188:OFK189"/>
    <mergeCell ref="OFS188:OFS189"/>
    <mergeCell ref="OGA188:OGA189"/>
    <mergeCell ref="OGI188:OGI189"/>
    <mergeCell ref="OGQ188:OGQ189"/>
    <mergeCell ref="ODW188:ODW189"/>
    <mergeCell ref="OEE188:OEE189"/>
    <mergeCell ref="OEM188:OEM189"/>
    <mergeCell ref="OEU188:OEU189"/>
    <mergeCell ref="OFC188:OFC189"/>
    <mergeCell ref="OCI188:OCI189"/>
    <mergeCell ref="OCQ188:OCQ189"/>
    <mergeCell ref="OCY188:OCY189"/>
    <mergeCell ref="ODG188:ODG189"/>
    <mergeCell ref="ODO188:ODO189"/>
    <mergeCell ref="ONC188:ONC189"/>
    <mergeCell ref="ONK188:ONK189"/>
    <mergeCell ref="ONS188:ONS189"/>
    <mergeCell ref="OOA188:OOA189"/>
    <mergeCell ref="OOI188:OOI189"/>
    <mergeCell ref="OLO188:OLO189"/>
    <mergeCell ref="OLW188:OLW189"/>
    <mergeCell ref="OME188:OME189"/>
    <mergeCell ref="OMM188:OMM189"/>
    <mergeCell ref="OMU188:OMU189"/>
    <mergeCell ref="OKA188:OKA189"/>
    <mergeCell ref="OKI188:OKI189"/>
    <mergeCell ref="OKQ188:OKQ189"/>
    <mergeCell ref="OKY188:OKY189"/>
    <mergeCell ref="OLG188:OLG189"/>
    <mergeCell ref="OIM188:OIM189"/>
    <mergeCell ref="OIU188:OIU189"/>
    <mergeCell ref="OJC188:OJC189"/>
    <mergeCell ref="OJK188:OJK189"/>
    <mergeCell ref="OJS188:OJS189"/>
    <mergeCell ref="OTG188:OTG189"/>
    <mergeCell ref="OTO188:OTO189"/>
    <mergeCell ref="OTW188:OTW189"/>
    <mergeCell ref="OUE188:OUE189"/>
    <mergeCell ref="OUM188:OUM189"/>
    <mergeCell ref="ORS188:ORS189"/>
    <mergeCell ref="OSA188:OSA189"/>
    <mergeCell ref="OSI188:OSI189"/>
    <mergeCell ref="OSQ188:OSQ189"/>
    <mergeCell ref="OSY188:OSY189"/>
    <mergeCell ref="OQE188:OQE189"/>
    <mergeCell ref="OQM188:OQM189"/>
    <mergeCell ref="OQU188:OQU189"/>
    <mergeCell ref="ORC188:ORC189"/>
    <mergeCell ref="ORK188:ORK189"/>
    <mergeCell ref="OOQ188:OOQ189"/>
    <mergeCell ref="OOY188:OOY189"/>
    <mergeCell ref="OPG188:OPG189"/>
    <mergeCell ref="OPO188:OPO189"/>
    <mergeCell ref="OPW188:OPW189"/>
    <mergeCell ref="OZK188:OZK189"/>
    <mergeCell ref="OZS188:OZS189"/>
    <mergeCell ref="PAA188:PAA189"/>
    <mergeCell ref="PAI188:PAI189"/>
    <mergeCell ref="PAQ188:PAQ189"/>
    <mergeCell ref="OXW188:OXW189"/>
    <mergeCell ref="OYE188:OYE189"/>
    <mergeCell ref="OYM188:OYM189"/>
    <mergeCell ref="OYU188:OYU189"/>
    <mergeCell ref="OZC188:OZC189"/>
    <mergeCell ref="OWI188:OWI189"/>
    <mergeCell ref="OWQ188:OWQ189"/>
    <mergeCell ref="OWY188:OWY189"/>
    <mergeCell ref="OXG188:OXG189"/>
    <mergeCell ref="OXO188:OXO189"/>
    <mergeCell ref="OUU188:OUU189"/>
    <mergeCell ref="OVC188:OVC189"/>
    <mergeCell ref="OVK188:OVK189"/>
    <mergeCell ref="OVS188:OVS189"/>
    <mergeCell ref="OWA188:OWA189"/>
    <mergeCell ref="PFO188:PFO189"/>
    <mergeCell ref="PFW188:PFW189"/>
    <mergeCell ref="PGE188:PGE189"/>
    <mergeCell ref="PGM188:PGM189"/>
    <mergeCell ref="PGU188:PGU189"/>
    <mergeCell ref="PEA188:PEA189"/>
    <mergeCell ref="PEI188:PEI189"/>
    <mergeCell ref="PEQ188:PEQ189"/>
    <mergeCell ref="PEY188:PEY189"/>
    <mergeCell ref="PFG188:PFG189"/>
    <mergeCell ref="PCM188:PCM189"/>
    <mergeCell ref="PCU188:PCU189"/>
    <mergeCell ref="PDC188:PDC189"/>
    <mergeCell ref="PDK188:PDK189"/>
    <mergeCell ref="PDS188:PDS189"/>
    <mergeCell ref="PAY188:PAY189"/>
    <mergeCell ref="PBG188:PBG189"/>
    <mergeCell ref="PBO188:PBO189"/>
    <mergeCell ref="PBW188:PBW189"/>
    <mergeCell ref="PCE188:PCE189"/>
    <mergeCell ref="PLS188:PLS189"/>
    <mergeCell ref="PMA188:PMA189"/>
    <mergeCell ref="PMI188:PMI189"/>
    <mergeCell ref="PMQ188:PMQ189"/>
    <mergeCell ref="PMY188:PMY189"/>
    <mergeCell ref="PKE188:PKE189"/>
    <mergeCell ref="PKM188:PKM189"/>
    <mergeCell ref="PKU188:PKU189"/>
    <mergeCell ref="PLC188:PLC189"/>
    <mergeCell ref="PLK188:PLK189"/>
    <mergeCell ref="PIQ188:PIQ189"/>
    <mergeCell ref="PIY188:PIY189"/>
    <mergeCell ref="PJG188:PJG189"/>
    <mergeCell ref="PJO188:PJO189"/>
    <mergeCell ref="PJW188:PJW189"/>
    <mergeCell ref="PHC188:PHC189"/>
    <mergeCell ref="PHK188:PHK189"/>
    <mergeCell ref="PHS188:PHS189"/>
    <mergeCell ref="PIA188:PIA189"/>
    <mergeCell ref="PII188:PII189"/>
    <mergeCell ref="PRW188:PRW189"/>
    <mergeCell ref="PSE188:PSE189"/>
    <mergeCell ref="PSM188:PSM189"/>
    <mergeCell ref="PSU188:PSU189"/>
    <mergeCell ref="PTC188:PTC189"/>
    <mergeCell ref="PQI188:PQI189"/>
    <mergeCell ref="PQQ188:PQQ189"/>
    <mergeCell ref="PQY188:PQY189"/>
    <mergeCell ref="PRG188:PRG189"/>
    <mergeCell ref="PRO188:PRO189"/>
    <mergeCell ref="POU188:POU189"/>
    <mergeCell ref="PPC188:PPC189"/>
    <mergeCell ref="PPK188:PPK189"/>
    <mergeCell ref="PPS188:PPS189"/>
    <mergeCell ref="PQA188:PQA189"/>
    <mergeCell ref="PNG188:PNG189"/>
    <mergeCell ref="PNO188:PNO189"/>
    <mergeCell ref="PNW188:PNW189"/>
    <mergeCell ref="POE188:POE189"/>
    <mergeCell ref="POM188:POM189"/>
    <mergeCell ref="PYA188:PYA189"/>
    <mergeCell ref="PYI188:PYI189"/>
    <mergeCell ref="PYQ188:PYQ189"/>
    <mergeCell ref="PYY188:PYY189"/>
    <mergeCell ref="PZG188:PZG189"/>
    <mergeCell ref="PWM188:PWM189"/>
    <mergeCell ref="PWU188:PWU189"/>
    <mergeCell ref="PXC188:PXC189"/>
    <mergeCell ref="PXK188:PXK189"/>
    <mergeCell ref="PXS188:PXS189"/>
    <mergeCell ref="PUY188:PUY189"/>
    <mergeCell ref="PVG188:PVG189"/>
    <mergeCell ref="PVO188:PVO189"/>
    <mergeCell ref="PVW188:PVW189"/>
    <mergeCell ref="PWE188:PWE189"/>
    <mergeCell ref="PTK188:PTK189"/>
    <mergeCell ref="PTS188:PTS189"/>
    <mergeCell ref="PUA188:PUA189"/>
    <mergeCell ref="PUI188:PUI189"/>
    <mergeCell ref="PUQ188:PUQ189"/>
    <mergeCell ref="QEE188:QEE189"/>
    <mergeCell ref="QEM188:QEM189"/>
    <mergeCell ref="QEU188:QEU189"/>
    <mergeCell ref="QFC188:QFC189"/>
    <mergeCell ref="QFK188:QFK189"/>
    <mergeCell ref="QCQ188:QCQ189"/>
    <mergeCell ref="QCY188:QCY189"/>
    <mergeCell ref="QDG188:QDG189"/>
    <mergeCell ref="QDO188:QDO189"/>
    <mergeCell ref="QDW188:QDW189"/>
    <mergeCell ref="QBC188:QBC189"/>
    <mergeCell ref="QBK188:QBK189"/>
    <mergeCell ref="QBS188:QBS189"/>
    <mergeCell ref="QCA188:QCA189"/>
    <mergeCell ref="QCI188:QCI189"/>
    <mergeCell ref="PZO188:PZO189"/>
    <mergeCell ref="PZW188:PZW189"/>
    <mergeCell ref="QAE188:QAE189"/>
    <mergeCell ref="QAM188:QAM189"/>
    <mergeCell ref="QAU188:QAU189"/>
    <mergeCell ref="QKI188:QKI189"/>
    <mergeCell ref="QKQ188:QKQ189"/>
    <mergeCell ref="QKY188:QKY189"/>
    <mergeCell ref="QLG188:QLG189"/>
    <mergeCell ref="QLO188:QLO189"/>
    <mergeCell ref="QIU188:QIU189"/>
    <mergeCell ref="QJC188:QJC189"/>
    <mergeCell ref="QJK188:QJK189"/>
    <mergeCell ref="QJS188:QJS189"/>
    <mergeCell ref="QKA188:QKA189"/>
    <mergeCell ref="QHG188:QHG189"/>
    <mergeCell ref="QHO188:QHO189"/>
    <mergeCell ref="QHW188:QHW189"/>
    <mergeCell ref="QIE188:QIE189"/>
    <mergeCell ref="QIM188:QIM189"/>
    <mergeCell ref="QFS188:QFS189"/>
    <mergeCell ref="QGA188:QGA189"/>
    <mergeCell ref="QGI188:QGI189"/>
    <mergeCell ref="QGQ188:QGQ189"/>
    <mergeCell ref="QGY188:QGY189"/>
    <mergeCell ref="QQM188:QQM189"/>
    <mergeCell ref="QQU188:QQU189"/>
    <mergeCell ref="QRC188:QRC189"/>
    <mergeCell ref="QRK188:QRK189"/>
    <mergeCell ref="QRS188:QRS189"/>
    <mergeCell ref="QOY188:QOY189"/>
    <mergeCell ref="QPG188:QPG189"/>
    <mergeCell ref="QPO188:QPO189"/>
    <mergeCell ref="QPW188:QPW189"/>
    <mergeCell ref="QQE188:QQE189"/>
    <mergeCell ref="QNK188:QNK189"/>
    <mergeCell ref="QNS188:QNS189"/>
    <mergeCell ref="QOA188:QOA189"/>
    <mergeCell ref="QOI188:QOI189"/>
    <mergeCell ref="QOQ188:QOQ189"/>
    <mergeCell ref="QLW188:QLW189"/>
    <mergeCell ref="QME188:QME189"/>
    <mergeCell ref="QMM188:QMM189"/>
    <mergeCell ref="QMU188:QMU189"/>
    <mergeCell ref="QNC188:QNC189"/>
    <mergeCell ref="QWQ188:QWQ189"/>
    <mergeCell ref="QWY188:QWY189"/>
    <mergeCell ref="QXG188:QXG189"/>
    <mergeCell ref="QXO188:QXO189"/>
    <mergeCell ref="QXW188:QXW189"/>
    <mergeCell ref="QVC188:QVC189"/>
    <mergeCell ref="QVK188:QVK189"/>
    <mergeCell ref="QVS188:QVS189"/>
    <mergeCell ref="QWA188:QWA189"/>
    <mergeCell ref="QWI188:QWI189"/>
    <mergeCell ref="QTO188:QTO189"/>
    <mergeCell ref="QTW188:QTW189"/>
    <mergeCell ref="QUE188:QUE189"/>
    <mergeCell ref="QUM188:QUM189"/>
    <mergeCell ref="QUU188:QUU189"/>
    <mergeCell ref="QSA188:QSA189"/>
    <mergeCell ref="QSI188:QSI189"/>
    <mergeCell ref="QSQ188:QSQ189"/>
    <mergeCell ref="QSY188:QSY189"/>
    <mergeCell ref="QTG188:QTG189"/>
    <mergeCell ref="RCU188:RCU189"/>
    <mergeCell ref="RDC188:RDC189"/>
    <mergeCell ref="RDK188:RDK189"/>
    <mergeCell ref="RDS188:RDS189"/>
    <mergeCell ref="REA188:REA189"/>
    <mergeCell ref="RBG188:RBG189"/>
    <mergeCell ref="RBO188:RBO189"/>
    <mergeCell ref="RBW188:RBW189"/>
    <mergeCell ref="RCE188:RCE189"/>
    <mergeCell ref="RCM188:RCM189"/>
    <mergeCell ref="QZS188:QZS189"/>
    <mergeCell ref="RAA188:RAA189"/>
    <mergeCell ref="RAI188:RAI189"/>
    <mergeCell ref="RAQ188:RAQ189"/>
    <mergeCell ref="RAY188:RAY189"/>
    <mergeCell ref="QYE188:QYE189"/>
    <mergeCell ref="QYM188:QYM189"/>
    <mergeCell ref="QYU188:QYU189"/>
    <mergeCell ref="QZC188:QZC189"/>
    <mergeCell ref="QZK188:QZK189"/>
    <mergeCell ref="RIY188:RIY189"/>
    <mergeCell ref="RJG188:RJG189"/>
    <mergeCell ref="RJO188:RJO189"/>
    <mergeCell ref="RJW188:RJW189"/>
    <mergeCell ref="RKE188:RKE189"/>
    <mergeCell ref="RHK188:RHK189"/>
    <mergeCell ref="RHS188:RHS189"/>
    <mergeCell ref="RIA188:RIA189"/>
    <mergeCell ref="RII188:RII189"/>
    <mergeCell ref="RIQ188:RIQ189"/>
    <mergeCell ref="RFW188:RFW189"/>
    <mergeCell ref="RGE188:RGE189"/>
    <mergeCell ref="RGM188:RGM189"/>
    <mergeCell ref="RGU188:RGU189"/>
    <mergeCell ref="RHC188:RHC189"/>
    <mergeCell ref="REI188:REI189"/>
    <mergeCell ref="REQ188:REQ189"/>
    <mergeCell ref="REY188:REY189"/>
    <mergeCell ref="RFG188:RFG189"/>
    <mergeCell ref="RFO188:RFO189"/>
    <mergeCell ref="RPC188:RPC189"/>
    <mergeCell ref="RPK188:RPK189"/>
    <mergeCell ref="RPS188:RPS189"/>
    <mergeCell ref="RQA188:RQA189"/>
    <mergeCell ref="RQI188:RQI189"/>
    <mergeCell ref="RNO188:RNO189"/>
    <mergeCell ref="RNW188:RNW189"/>
    <mergeCell ref="ROE188:ROE189"/>
    <mergeCell ref="ROM188:ROM189"/>
    <mergeCell ref="ROU188:ROU189"/>
    <mergeCell ref="RMA188:RMA189"/>
    <mergeCell ref="RMI188:RMI189"/>
    <mergeCell ref="RMQ188:RMQ189"/>
    <mergeCell ref="RMY188:RMY189"/>
    <mergeCell ref="RNG188:RNG189"/>
    <mergeCell ref="RKM188:RKM189"/>
    <mergeCell ref="RKU188:RKU189"/>
    <mergeCell ref="RLC188:RLC189"/>
    <mergeCell ref="RLK188:RLK189"/>
    <mergeCell ref="RLS188:RLS189"/>
    <mergeCell ref="RVG188:RVG189"/>
    <mergeCell ref="RVO188:RVO189"/>
    <mergeCell ref="RVW188:RVW189"/>
    <mergeCell ref="RWE188:RWE189"/>
    <mergeCell ref="RWM188:RWM189"/>
    <mergeCell ref="RTS188:RTS189"/>
    <mergeCell ref="RUA188:RUA189"/>
    <mergeCell ref="RUI188:RUI189"/>
    <mergeCell ref="RUQ188:RUQ189"/>
    <mergeCell ref="RUY188:RUY189"/>
    <mergeCell ref="RSE188:RSE189"/>
    <mergeCell ref="RSM188:RSM189"/>
    <mergeCell ref="RSU188:RSU189"/>
    <mergeCell ref="RTC188:RTC189"/>
    <mergeCell ref="RTK188:RTK189"/>
    <mergeCell ref="RQQ188:RQQ189"/>
    <mergeCell ref="RQY188:RQY189"/>
    <mergeCell ref="RRG188:RRG189"/>
    <mergeCell ref="RRO188:RRO189"/>
    <mergeCell ref="RRW188:RRW189"/>
    <mergeCell ref="SBK188:SBK189"/>
    <mergeCell ref="SBS188:SBS189"/>
    <mergeCell ref="SCA188:SCA189"/>
    <mergeCell ref="SCI188:SCI189"/>
    <mergeCell ref="SCQ188:SCQ189"/>
    <mergeCell ref="RZW188:RZW189"/>
    <mergeCell ref="SAE188:SAE189"/>
    <mergeCell ref="SAM188:SAM189"/>
    <mergeCell ref="SAU188:SAU189"/>
    <mergeCell ref="SBC188:SBC189"/>
    <mergeCell ref="RYI188:RYI189"/>
    <mergeCell ref="RYQ188:RYQ189"/>
    <mergeCell ref="RYY188:RYY189"/>
    <mergeCell ref="RZG188:RZG189"/>
    <mergeCell ref="RZO188:RZO189"/>
    <mergeCell ref="RWU188:RWU189"/>
    <mergeCell ref="RXC188:RXC189"/>
    <mergeCell ref="RXK188:RXK189"/>
    <mergeCell ref="RXS188:RXS189"/>
    <mergeCell ref="RYA188:RYA189"/>
    <mergeCell ref="SHO188:SHO189"/>
    <mergeCell ref="SHW188:SHW189"/>
    <mergeCell ref="SIE188:SIE189"/>
    <mergeCell ref="SIM188:SIM189"/>
    <mergeCell ref="SIU188:SIU189"/>
    <mergeCell ref="SGA188:SGA189"/>
    <mergeCell ref="SGI188:SGI189"/>
    <mergeCell ref="SGQ188:SGQ189"/>
    <mergeCell ref="SGY188:SGY189"/>
    <mergeCell ref="SHG188:SHG189"/>
    <mergeCell ref="SEM188:SEM189"/>
    <mergeCell ref="SEU188:SEU189"/>
    <mergeCell ref="SFC188:SFC189"/>
    <mergeCell ref="SFK188:SFK189"/>
    <mergeCell ref="SFS188:SFS189"/>
    <mergeCell ref="SCY188:SCY189"/>
    <mergeCell ref="SDG188:SDG189"/>
    <mergeCell ref="SDO188:SDO189"/>
    <mergeCell ref="SDW188:SDW189"/>
    <mergeCell ref="SEE188:SEE189"/>
    <mergeCell ref="SNS188:SNS189"/>
    <mergeCell ref="SOA188:SOA189"/>
    <mergeCell ref="SOI188:SOI189"/>
    <mergeCell ref="SOQ188:SOQ189"/>
    <mergeCell ref="SOY188:SOY189"/>
    <mergeCell ref="SME188:SME189"/>
    <mergeCell ref="SMM188:SMM189"/>
    <mergeCell ref="SMU188:SMU189"/>
    <mergeCell ref="SNC188:SNC189"/>
    <mergeCell ref="SNK188:SNK189"/>
    <mergeCell ref="SKQ188:SKQ189"/>
    <mergeCell ref="SKY188:SKY189"/>
    <mergeCell ref="SLG188:SLG189"/>
    <mergeCell ref="SLO188:SLO189"/>
    <mergeCell ref="SLW188:SLW189"/>
    <mergeCell ref="SJC188:SJC189"/>
    <mergeCell ref="SJK188:SJK189"/>
    <mergeCell ref="SJS188:SJS189"/>
    <mergeCell ref="SKA188:SKA189"/>
    <mergeCell ref="SKI188:SKI189"/>
    <mergeCell ref="STW188:STW189"/>
    <mergeCell ref="SUE188:SUE189"/>
    <mergeCell ref="SUM188:SUM189"/>
    <mergeCell ref="SUU188:SUU189"/>
    <mergeCell ref="SVC188:SVC189"/>
    <mergeCell ref="SSI188:SSI189"/>
    <mergeCell ref="SSQ188:SSQ189"/>
    <mergeCell ref="SSY188:SSY189"/>
    <mergeCell ref="STG188:STG189"/>
    <mergeCell ref="STO188:STO189"/>
    <mergeCell ref="SQU188:SQU189"/>
    <mergeCell ref="SRC188:SRC189"/>
    <mergeCell ref="SRK188:SRK189"/>
    <mergeCell ref="SRS188:SRS189"/>
    <mergeCell ref="SSA188:SSA189"/>
    <mergeCell ref="SPG188:SPG189"/>
    <mergeCell ref="SPO188:SPO189"/>
    <mergeCell ref="SPW188:SPW189"/>
    <mergeCell ref="SQE188:SQE189"/>
    <mergeCell ref="SQM188:SQM189"/>
    <mergeCell ref="TAA188:TAA189"/>
    <mergeCell ref="TAI188:TAI189"/>
    <mergeCell ref="TAQ188:TAQ189"/>
    <mergeCell ref="TAY188:TAY189"/>
    <mergeCell ref="TBG188:TBG189"/>
    <mergeCell ref="SYM188:SYM189"/>
    <mergeCell ref="SYU188:SYU189"/>
    <mergeCell ref="SZC188:SZC189"/>
    <mergeCell ref="SZK188:SZK189"/>
    <mergeCell ref="SZS188:SZS189"/>
    <mergeCell ref="SWY188:SWY189"/>
    <mergeCell ref="SXG188:SXG189"/>
    <mergeCell ref="SXO188:SXO189"/>
    <mergeCell ref="SXW188:SXW189"/>
    <mergeCell ref="SYE188:SYE189"/>
    <mergeCell ref="SVK188:SVK189"/>
    <mergeCell ref="SVS188:SVS189"/>
    <mergeCell ref="SWA188:SWA189"/>
    <mergeCell ref="SWI188:SWI189"/>
    <mergeCell ref="SWQ188:SWQ189"/>
    <mergeCell ref="TGE188:TGE189"/>
    <mergeCell ref="TGM188:TGM189"/>
    <mergeCell ref="TGU188:TGU189"/>
    <mergeCell ref="THC188:THC189"/>
    <mergeCell ref="THK188:THK189"/>
    <mergeCell ref="TEQ188:TEQ189"/>
    <mergeCell ref="TEY188:TEY189"/>
    <mergeCell ref="TFG188:TFG189"/>
    <mergeCell ref="TFO188:TFO189"/>
    <mergeCell ref="TFW188:TFW189"/>
    <mergeCell ref="TDC188:TDC189"/>
    <mergeCell ref="TDK188:TDK189"/>
    <mergeCell ref="TDS188:TDS189"/>
    <mergeCell ref="TEA188:TEA189"/>
    <mergeCell ref="TEI188:TEI189"/>
    <mergeCell ref="TBO188:TBO189"/>
    <mergeCell ref="TBW188:TBW189"/>
    <mergeCell ref="TCE188:TCE189"/>
    <mergeCell ref="TCM188:TCM189"/>
    <mergeCell ref="TCU188:TCU189"/>
    <mergeCell ref="TMI188:TMI189"/>
    <mergeCell ref="TMQ188:TMQ189"/>
    <mergeCell ref="TMY188:TMY189"/>
    <mergeCell ref="TNG188:TNG189"/>
    <mergeCell ref="TNO188:TNO189"/>
    <mergeCell ref="TKU188:TKU189"/>
    <mergeCell ref="TLC188:TLC189"/>
    <mergeCell ref="TLK188:TLK189"/>
    <mergeCell ref="TLS188:TLS189"/>
    <mergeCell ref="TMA188:TMA189"/>
    <mergeCell ref="TJG188:TJG189"/>
    <mergeCell ref="TJO188:TJO189"/>
    <mergeCell ref="TJW188:TJW189"/>
    <mergeCell ref="TKE188:TKE189"/>
    <mergeCell ref="TKM188:TKM189"/>
    <mergeCell ref="THS188:THS189"/>
    <mergeCell ref="TIA188:TIA189"/>
    <mergeCell ref="TII188:TII189"/>
    <mergeCell ref="TIQ188:TIQ189"/>
    <mergeCell ref="TIY188:TIY189"/>
    <mergeCell ref="TSM188:TSM189"/>
    <mergeCell ref="TSU188:TSU189"/>
    <mergeCell ref="TTC188:TTC189"/>
    <mergeCell ref="TTK188:TTK189"/>
    <mergeCell ref="TTS188:TTS189"/>
    <mergeCell ref="TQY188:TQY189"/>
    <mergeCell ref="TRG188:TRG189"/>
    <mergeCell ref="TRO188:TRO189"/>
    <mergeCell ref="TRW188:TRW189"/>
    <mergeCell ref="TSE188:TSE189"/>
    <mergeCell ref="TPK188:TPK189"/>
    <mergeCell ref="TPS188:TPS189"/>
    <mergeCell ref="TQA188:TQA189"/>
    <mergeCell ref="TQI188:TQI189"/>
    <mergeCell ref="TQQ188:TQQ189"/>
    <mergeCell ref="TNW188:TNW189"/>
    <mergeCell ref="TOE188:TOE189"/>
    <mergeCell ref="TOM188:TOM189"/>
    <mergeCell ref="TOU188:TOU189"/>
    <mergeCell ref="TPC188:TPC189"/>
    <mergeCell ref="TYQ188:TYQ189"/>
    <mergeCell ref="TYY188:TYY189"/>
    <mergeCell ref="TZG188:TZG189"/>
    <mergeCell ref="TZO188:TZO189"/>
    <mergeCell ref="TZW188:TZW189"/>
    <mergeCell ref="TXC188:TXC189"/>
    <mergeCell ref="TXK188:TXK189"/>
    <mergeCell ref="TXS188:TXS189"/>
    <mergeCell ref="TYA188:TYA189"/>
    <mergeCell ref="TYI188:TYI189"/>
    <mergeCell ref="TVO188:TVO189"/>
    <mergeCell ref="TVW188:TVW189"/>
    <mergeCell ref="TWE188:TWE189"/>
    <mergeCell ref="TWM188:TWM189"/>
    <mergeCell ref="TWU188:TWU189"/>
    <mergeCell ref="TUA188:TUA189"/>
    <mergeCell ref="TUI188:TUI189"/>
    <mergeCell ref="TUQ188:TUQ189"/>
    <mergeCell ref="TUY188:TUY189"/>
    <mergeCell ref="TVG188:TVG189"/>
    <mergeCell ref="UEU188:UEU189"/>
    <mergeCell ref="UFC188:UFC189"/>
    <mergeCell ref="UFK188:UFK189"/>
    <mergeCell ref="UFS188:UFS189"/>
    <mergeCell ref="UGA188:UGA189"/>
    <mergeCell ref="UDG188:UDG189"/>
    <mergeCell ref="UDO188:UDO189"/>
    <mergeCell ref="UDW188:UDW189"/>
    <mergeCell ref="UEE188:UEE189"/>
    <mergeCell ref="UEM188:UEM189"/>
    <mergeCell ref="UBS188:UBS189"/>
    <mergeCell ref="UCA188:UCA189"/>
    <mergeCell ref="UCI188:UCI189"/>
    <mergeCell ref="UCQ188:UCQ189"/>
    <mergeCell ref="UCY188:UCY189"/>
    <mergeCell ref="UAE188:UAE189"/>
    <mergeCell ref="UAM188:UAM189"/>
    <mergeCell ref="UAU188:UAU189"/>
    <mergeCell ref="UBC188:UBC189"/>
    <mergeCell ref="UBK188:UBK189"/>
    <mergeCell ref="UKY188:UKY189"/>
    <mergeCell ref="ULG188:ULG189"/>
    <mergeCell ref="ULO188:ULO189"/>
    <mergeCell ref="ULW188:ULW189"/>
    <mergeCell ref="UME188:UME189"/>
    <mergeCell ref="UJK188:UJK189"/>
    <mergeCell ref="UJS188:UJS189"/>
    <mergeCell ref="UKA188:UKA189"/>
    <mergeCell ref="UKI188:UKI189"/>
    <mergeCell ref="UKQ188:UKQ189"/>
    <mergeCell ref="UHW188:UHW189"/>
    <mergeCell ref="UIE188:UIE189"/>
    <mergeCell ref="UIM188:UIM189"/>
    <mergeCell ref="UIU188:UIU189"/>
    <mergeCell ref="UJC188:UJC189"/>
    <mergeCell ref="UGI188:UGI189"/>
    <mergeCell ref="UGQ188:UGQ189"/>
    <mergeCell ref="UGY188:UGY189"/>
    <mergeCell ref="UHG188:UHG189"/>
    <mergeCell ref="UHO188:UHO189"/>
    <mergeCell ref="URC188:URC189"/>
    <mergeCell ref="URK188:URK189"/>
    <mergeCell ref="URS188:URS189"/>
    <mergeCell ref="USA188:USA189"/>
    <mergeCell ref="USI188:USI189"/>
    <mergeCell ref="UPO188:UPO189"/>
    <mergeCell ref="UPW188:UPW189"/>
    <mergeCell ref="UQE188:UQE189"/>
    <mergeCell ref="UQM188:UQM189"/>
    <mergeCell ref="UQU188:UQU189"/>
    <mergeCell ref="UOA188:UOA189"/>
    <mergeCell ref="UOI188:UOI189"/>
    <mergeCell ref="UOQ188:UOQ189"/>
    <mergeCell ref="UOY188:UOY189"/>
    <mergeCell ref="UPG188:UPG189"/>
    <mergeCell ref="UMM188:UMM189"/>
    <mergeCell ref="UMU188:UMU189"/>
    <mergeCell ref="UNC188:UNC189"/>
    <mergeCell ref="UNK188:UNK189"/>
    <mergeCell ref="UNS188:UNS189"/>
    <mergeCell ref="UXG188:UXG189"/>
    <mergeCell ref="UXO188:UXO189"/>
    <mergeCell ref="UXW188:UXW189"/>
    <mergeCell ref="UYE188:UYE189"/>
    <mergeCell ref="UYM188:UYM189"/>
    <mergeCell ref="UVS188:UVS189"/>
    <mergeCell ref="UWA188:UWA189"/>
    <mergeCell ref="UWI188:UWI189"/>
    <mergeCell ref="UWQ188:UWQ189"/>
    <mergeCell ref="UWY188:UWY189"/>
    <mergeCell ref="UUE188:UUE189"/>
    <mergeCell ref="UUM188:UUM189"/>
    <mergeCell ref="UUU188:UUU189"/>
    <mergeCell ref="UVC188:UVC189"/>
    <mergeCell ref="UVK188:UVK189"/>
    <mergeCell ref="USQ188:USQ189"/>
    <mergeCell ref="USY188:USY189"/>
    <mergeCell ref="UTG188:UTG189"/>
    <mergeCell ref="UTO188:UTO189"/>
    <mergeCell ref="UTW188:UTW189"/>
    <mergeCell ref="VDK188:VDK189"/>
    <mergeCell ref="VDS188:VDS189"/>
    <mergeCell ref="VEA188:VEA189"/>
    <mergeCell ref="VEI188:VEI189"/>
    <mergeCell ref="VEQ188:VEQ189"/>
    <mergeCell ref="VBW188:VBW189"/>
    <mergeCell ref="VCE188:VCE189"/>
    <mergeCell ref="VCM188:VCM189"/>
    <mergeCell ref="VCU188:VCU189"/>
    <mergeCell ref="VDC188:VDC189"/>
    <mergeCell ref="VAI188:VAI189"/>
    <mergeCell ref="VAQ188:VAQ189"/>
    <mergeCell ref="VAY188:VAY189"/>
    <mergeCell ref="VBG188:VBG189"/>
    <mergeCell ref="VBO188:VBO189"/>
    <mergeCell ref="UYU188:UYU189"/>
    <mergeCell ref="UZC188:UZC189"/>
    <mergeCell ref="UZK188:UZK189"/>
    <mergeCell ref="UZS188:UZS189"/>
    <mergeCell ref="VAA188:VAA189"/>
    <mergeCell ref="VJO188:VJO189"/>
    <mergeCell ref="VJW188:VJW189"/>
    <mergeCell ref="VKE188:VKE189"/>
    <mergeCell ref="VKM188:VKM189"/>
    <mergeCell ref="VKU188:VKU189"/>
    <mergeCell ref="VIA188:VIA189"/>
    <mergeCell ref="VII188:VII189"/>
    <mergeCell ref="VIQ188:VIQ189"/>
    <mergeCell ref="VIY188:VIY189"/>
    <mergeCell ref="VJG188:VJG189"/>
    <mergeCell ref="VGM188:VGM189"/>
    <mergeCell ref="VGU188:VGU189"/>
    <mergeCell ref="VHC188:VHC189"/>
    <mergeCell ref="VHK188:VHK189"/>
    <mergeCell ref="VHS188:VHS189"/>
    <mergeCell ref="VEY188:VEY189"/>
    <mergeCell ref="VFG188:VFG189"/>
    <mergeCell ref="VFO188:VFO189"/>
    <mergeCell ref="VFW188:VFW189"/>
    <mergeCell ref="VGE188:VGE189"/>
    <mergeCell ref="VPS188:VPS189"/>
    <mergeCell ref="VQA188:VQA189"/>
    <mergeCell ref="VQI188:VQI189"/>
    <mergeCell ref="VQQ188:VQQ189"/>
    <mergeCell ref="VQY188:VQY189"/>
    <mergeCell ref="VOE188:VOE189"/>
    <mergeCell ref="VOM188:VOM189"/>
    <mergeCell ref="VOU188:VOU189"/>
    <mergeCell ref="VPC188:VPC189"/>
    <mergeCell ref="VPK188:VPK189"/>
    <mergeCell ref="VMQ188:VMQ189"/>
    <mergeCell ref="VMY188:VMY189"/>
    <mergeCell ref="VNG188:VNG189"/>
    <mergeCell ref="VNO188:VNO189"/>
    <mergeCell ref="VNW188:VNW189"/>
    <mergeCell ref="VLC188:VLC189"/>
    <mergeCell ref="VLK188:VLK189"/>
    <mergeCell ref="VLS188:VLS189"/>
    <mergeCell ref="VMA188:VMA189"/>
    <mergeCell ref="VMI188:VMI189"/>
    <mergeCell ref="VVW188:VVW189"/>
    <mergeCell ref="VWE188:VWE189"/>
    <mergeCell ref="VWM188:VWM189"/>
    <mergeCell ref="VWU188:VWU189"/>
    <mergeCell ref="VXC188:VXC189"/>
    <mergeCell ref="VUI188:VUI189"/>
    <mergeCell ref="VUQ188:VUQ189"/>
    <mergeCell ref="VUY188:VUY189"/>
    <mergeCell ref="VVG188:VVG189"/>
    <mergeCell ref="VVO188:VVO189"/>
    <mergeCell ref="VSU188:VSU189"/>
    <mergeCell ref="VTC188:VTC189"/>
    <mergeCell ref="VTK188:VTK189"/>
    <mergeCell ref="VTS188:VTS189"/>
    <mergeCell ref="VUA188:VUA189"/>
    <mergeCell ref="VRG188:VRG189"/>
    <mergeCell ref="VRO188:VRO189"/>
    <mergeCell ref="VRW188:VRW189"/>
    <mergeCell ref="VSE188:VSE189"/>
    <mergeCell ref="VSM188:VSM189"/>
    <mergeCell ref="WCA188:WCA189"/>
    <mergeCell ref="WCI188:WCI189"/>
    <mergeCell ref="WCQ188:WCQ189"/>
    <mergeCell ref="WCY188:WCY189"/>
    <mergeCell ref="WDG188:WDG189"/>
    <mergeCell ref="WAM188:WAM189"/>
    <mergeCell ref="WAU188:WAU189"/>
    <mergeCell ref="WBC188:WBC189"/>
    <mergeCell ref="WBK188:WBK189"/>
    <mergeCell ref="WBS188:WBS189"/>
    <mergeCell ref="VYY188:VYY189"/>
    <mergeCell ref="VZG188:VZG189"/>
    <mergeCell ref="VZO188:VZO189"/>
    <mergeCell ref="VZW188:VZW189"/>
    <mergeCell ref="WAE188:WAE189"/>
    <mergeCell ref="VXK188:VXK189"/>
    <mergeCell ref="VXS188:VXS189"/>
    <mergeCell ref="VYA188:VYA189"/>
    <mergeCell ref="VYI188:VYI189"/>
    <mergeCell ref="VYQ188:VYQ189"/>
    <mergeCell ref="WIE188:WIE189"/>
    <mergeCell ref="WIM188:WIM189"/>
    <mergeCell ref="WIU188:WIU189"/>
    <mergeCell ref="WJC188:WJC189"/>
    <mergeCell ref="WJK188:WJK189"/>
    <mergeCell ref="WGQ188:WGQ189"/>
    <mergeCell ref="WGY188:WGY189"/>
    <mergeCell ref="WHG188:WHG189"/>
    <mergeCell ref="WHO188:WHO189"/>
    <mergeCell ref="WHW188:WHW189"/>
    <mergeCell ref="WFC188:WFC189"/>
    <mergeCell ref="WFK188:WFK189"/>
    <mergeCell ref="WFS188:WFS189"/>
    <mergeCell ref="WGA188:WGA189"/>
    <mergeCell ref="WGI188:WGI189"/>
    <mergeCell ref="WDO188:WDO189"/>
    <mergeCell ref="WDW188:WDW189"/>
    <mergeCell ref="WEE188:WEE189"/>
    <mergeCell ref="WEM188:WEM189"/>
    <mergeCell ref="WEU188:WEU189"/>
    <mergeCell ref="WOI188:WOI189"/>
    <mergeCell ref="WOQ188:WOQ189"/>
    <mergeCell ref="WOY188:WOY189"/>
    <mergeCell ref="WPG188:WPG189"/>
    <mergeCell ref="WPO188:WPO189"/>
    <mergeCell ref="WMU188:WMU189"/>
    <mergeCell ref="WNC188:WNC189"/>
    <mergeCell ref="WNK188:WNK189"/>
    <mergeCell ref="WNS188:WNS189"/>
    <mergeCell ref="WOA188:WOA189"/>
    <mergeCell ref="WLG188:WLG189"/>
    <mergeCell ref="WLO188:WLO189"/>
    <mergeCell ref="WLW188:WLW189"/>
    <mergeCell ref="WME188:WME189"/>
    <mergeCell ref="WMM188:WMM189"/>
    <mergeCell ref="WJS188:WJS189"/>
    <mergeCell ref="WKA188:WKA189"/>
    <mergeCell ref="WKI188:WKI189"/>
    <mergeCell ref="WKQ188:WKQ189"/>
    <mergeCell ref="WKY188:WKY189"/>
    <mergeCell ref="WUM188:WUM189"/>
    <mergeCell ref="WUU188:WUU189"/>
    <mergeCell ref="WVC188:WVC189"/>
    <mergeCell ref="WVK188:WVK189"/>
    <mergeCell ref="WVS188:WVS189"/>
    <mergeCell ref="WSY188:WSY189"/>
    <mergeCell ref="WTG188:WTG189"/>
    <mergeCell ref="WTO188:WTO189"/>
    <mergeCell ref="WTW188:WTW189"/>
    <mergeCell ref="WUE188:WUE189"/>
    <mergeCell ref="WRK188:WRK189"/>
    <mergeCell ref="WRS188:WRS189"/>
    <mergeCell ref="WSA188:WSA189"/>
    <mergeCell ref="WSI188:WSI189"/>
    <mergeCell ref="WSQ188:WSQ189"/>
    <mergeCell ref="WPW188:WPW189"/>
    <mergeCell ref="WQE188:WQE189"/>
    <mergeCell ref="WQM188:WQM189"/>
    <mergeCell ref="WQU188:WQU189"/>
    <mergeCell ref="WRC188:WRC189"/>
    <mergeCell ref="WXO188:WXO189"/>
    <mergeCell ref="WXW188:WXW189"/>
    <mergeCell ref="WYE188:WYE189"/>
    <mergeCell ref="WYM188:WYM189"/>
    <mergeCell ref="WYU188:WYU189"/>
    <mergeCell ref="WWA188:WWA189"/>
    <mergeCell ref="WWI188:WWI189"/>
    <mergeCell ref="WWQ188:WWQ189"/>
    <mergeCell ref="WWY188:WWY189"/>
    <mergeCell ref="WXG188:WXG189"/>
    <mergeCell ref="XDS188:XDS189"/>
    <mergeCell ref="XEA188:XEA189"/>
    <mergeCell ref="XEI188:XEI189"/>
    <mergeCell ref="XEQ188:XEQ189"/>
    <mergeCell ref="XEY188:XEY189"/>
    <mergeCell ref="XCE188:XCE189"/>
    <mergeCell ref="XCM188:XCM189"/>
    <mergeCell ref="XCU188:XCU189"/>
    <mergeCell ref="XDC188:XDC189"/>
    <mergeCell ref="XDK188:XDK189"/>
    <mergeCell ref="XAQ188:XAQ189"/>
    <mergeCell ref="XAY188:XAY189"/>
    <mergeCell ref="XBG188:XBG189"/>
    <mergeCell ref="XBO188:XBO189"/>
    <mergeCell ref="XBW188:XBW189"/>
    <mergeCell ref="WZC188:WZC189"/>
    <mergeCell ref="WZK188:WZK189"/>
    <mergeCell ref="WZS188:WZS189"/>
    <mergeCell ref="XAA188:XAA189"/>
    <mergeCell ref="XAI188:XAI189"/>
  </mergeCells>
  <hyperlinks>
    <hyperlink ref="E241" location="'Note 40 to 41'!A54" display="Guarantees for loans to other entities" xr:uid="{00000000-0004-0000-1100-000000000000}"/>
  </hyperlinks>
  <pageMargins left="0.31496062992125984" right="0.31496062992125984" top="0.35433070866141736" bottom="0.35433070866141736" header="0.11811023622047245" footer="0.11811023622047245"/>
  <pageSetup paperSize="9" orientation="portrait" r:id="rId1"/>
  <headerFooter>
    <oddFooter>&amp;R&amp;P</oddFooter>
  </headerFooter>
  <rowBreaks count="1" manualBreakCount="1">
    <brk id="131" min="2"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92D050"/>
  </sheetPr>
  <dimension ref="A1:S405"/>
  <sheetViews>
    <sheetView showGridLines="0" view="pageBreakPreview" zoomScaleNormal="85" zoomScaleSheetLayoutView="100" workbookViewId="0">
      <pane ySplit="2" topLeftCell="A3" activePane="bottomLeft" state="frozen"/>
      <selection pane="bottomLeft"/>
    </sheetView>
  </sheetViews>
  <sheetFormatPr defaultColWidth="9" defaultRowHeight="14.4" x14ac:dyDescent="0.25"/>
  <cols>
    <col min="1" max="1" width="9.69921875" style="3" customWidth="1"/>
    <col min="2" max="2" width="6.09765625" style="3" customWidth="1"/>
    <col min="3" max="3" width="2" style="3" customWidth="1"/>
    <col min="4" max="4" width="29.69921875" style="3" customWidth="1"/>
    <col min="5" max="5" width="8.09765625" style="3" customWidth="1"/>
    <col min="6" max="6" width="7.09765625" style="3" customWidth="1"/>
    <col min="7" max="7" width="7.19921875" style="3" customWidth="1"/>
    <col min="8" max="8" width="7.8984375" style="3" customWidth="1"/>
    <col min="9" max="9" width="7.5" style="3" customWidth="1"/>
    <col min="10" max="10" width="8.3984375" style="3" customWidth="1"/>
    <col min="11" max="11" width="8.5" style="3" customWidth="1"/>
    <col min="12" max="12" width="8.8984375" style="3" customWidth="1"/>
    <col min="13" max="13" width="6.8984375" style="3" customWidth="1"/>
    <col min="14" max="14" width="11.5" style="3" customWidth="1"/>
    <col min="15" max="15" width="9.8984375" style="3" customWidth="1"/>
    <col min="16" max="16" width="6.59765625" style="3" customWidth="1"/>
    <col min="17" max="17" width="9.69921875" style="3" customWidth="1"/>
    <col min="18" max="16384" width="9" style="3"/>
  </cols>
  <sheetData>
    <row r="1" spans="1:15" ht="18.75" customHeight="1" x14ac:dyDescent="0.25">
      <c r="A1" s="145" t="s">
        <v>206</v>
      </c>
      <c r="B1" s="145"/>
      <c r="C1" s="50" t="str">
        <f>IF('Merge Details_Printing instr'!$B$11="Insert details here",'Merge Details_Printing instr'!$A$11,'Merge Details_Printing instr'!$B$11)</f>
        <v>Council Name</v>
      </c>
      <c r="E1" s="161"/>
      <c r="F1" s="535" t="s">
        <v>33</v>
      </c>
      <c r="G1" s="161"/>
      <c r="H1" s="161"/>
      <c r="I1" s="161"/>
      <c r="J1" s="161"/>
      <c r="K1" s="161"/>
      <c r="L1" s="161"/>
    </row>
    <row r="2" spans="1:15" s="1" customFormat="1" ht="18.75" customHeight="1" x14ac:dyDescent="0.25">
      <c r="A2" s="145" t="s">
        <v>696</v>
      </c>
      <c r="B2" s="145" t="s">
        <v>207</v>
      </c>
      <c r="C2" s="84" t="str">
        <f>+'Merge Details_Printing instr'!A12</f>
        <v>2023-2024 Financial Report</v>
      </c>
      <c r="D2" s="24"/>
      <c r="E2" s="24"/>
      <c r="F2" s="533" t="str">
        <f>'Merge Details_Printing instr'!$A$14</f>
        <v>For the Year Ended 30 June 2024</v>
      </c>
      <c r="G2" s="163"/>
      <c r="H2" s="163"/>
      <c r="I2" s="163"/>
      <c r="J2" s="163"/>
      <c r="K2" s="163"/>
      <c r="L2" s="11"/>
      <c r="M2" s="11"/>
      <c r="N2" s="19"/>
      <c r="O2" s="74"/>
    </row>
    <row r="3" spans="1:15" ht="12" customHeight="1" x14ac:dyDescent="0.25">
      <c r="C3" s="955"/>
      <c r="D3" s="1406"/>
      <c r="E3" s="1406"/>
      <c r="F3" s="952"/>
      <c r="G3" s="952"/>
      <c r="H3" s="952"/>
      <c r="I3" s="952"/>
      <c r="J3" s="952"/>
      <c r="K3" s="952"/>
      <c r="L3" s="19"/>
      <c r="M3" s="19"/>
      <c r="O3" s="39"/>
    </row>
    <row r="4" spans="1:15" x14ac:dyDescent="0.25">
      <c r="A4" s="139"/>
      <c r="B4" s="139"/>
      <c r="C4" s="955"/>
      <c r="D4" s="957" t="str">
        <f>"Note "&amp;('Note 9'!D234+0.01)&amp;"  Financial Instruments"</f>
        <v>Note 9.11  Financial Instruments</v>
      </c>
      <c r="E4" s="957"/>
      <c r="F4" s="957"/>
      <c r="G4" s="957"/>
      <c r="H4" s="955"/>
      <c r="I4" s="955"/>
      <c r="J4" s="955"/>
      <c r="K4" s="955"/>
      <c r="L4" s="19"/>
    </row>
    <row r="5" spans="1:15" s="246" customFormat="1" x14ac:dyDescent="0.25">
      <c r="A5" s="1916"/>
      <c r="B5" s="1916"/>
      <c r="C5" s="955"/>
      <c r="D5" s="1935" t="s">
        <v>2033</v>
      </c>
      <c r="E5" s="1935"/>
      <c r="F5" s="1935"/>
      <c r="G5" s="1935"/>
      <c r="H5" s="1136"/>
      <c r="I5" s="1136"/>
      <c r="J5" s="1136"/>
      <c r="K5" s="1136"/>
      <c r="L5" s="19"/>
    </row>
    <row r="6" spans="1:15" s="246" customFormat="1" x14ac:dyDescent="0.25">
      <c r="A6" s="1916"/>
      <c r="B6" s="1916"/>
      <c r="C6" s="955"/>
      <c r="D6" s="1136" t="s">
        <v>1957</v>
      </c>
      <c r="E6" s="1935"/>
      <c r="F6" s="1935"/>
      <c r="G6" s="1935"/>
      <c r="H6" s="1136"/>
      <c r="I6" s="1136"/>
      <c r="J6" s="1136"/>
      <c r="K6" s="1136"/>
      <c r="L6" s="19"/>
    </row>
    <row r="7" spans="1:15" s="246" customFormat="1" x14ac:dyDescent="0.25">
      <c r="A7" s="1916"/>
      <c r="B7" s="1916"/>
      <c r="C7" s="955"/>
      <c r="D7" s="2020" t="s">
        <v>2019</v>
      </c>
      <c r="E7" s="1935"/>
      <c r="F7" s="1935"/>
      <c r="G7" s="1935"/>
      <c r="H7" s="1136"/>
      <c r="I7" s="1136"/>
      <c r="J7" s="1136"/>
      <c r="K7" s="1136"/>
      <c r="L7" s="19"/>
    </row>
    <row r="8" spans="1:15" s="246" customFormat="1" x14ac:dyDescent="0.25">
      <c r="A8" s="1916"/>
      <c r="B8" s="1916"/>
      <c r="C8" s="955"/>
      <c r="D8" s="2020" t="s">
        <v>2021</v>
      </c>
      <c r="E8" s="1935"/>
      <c r="F8" s="1935"/>
      <c r="G8" s="1935"/>
      <c r="H8" s="1136"/>
      <c r="I8" s="1136"/>
      <c r="J8" s="1136"/>
      <c r="K8" s="1136"/>
      <c r="L8" s="19"/>
    </row>
    <row r="9" spans="1:15" s="246" customFormat="1" x14ac:dyDescent="0.25">
      <c r="A9" s="1916"/>
      <c r="B9" s="1916"/>
      <c r="C9" s="955"/>
      <c r="D9" s="2020" t="s">
        <v>2020</v>
      </c>
      <c r="E9" s="1935"/>
      <c r="F9" s="1935"/>
      <c r="G9" s="1935"/>
      <c r="H9" s="1136"/>
      <c r="I9" s="1136"/>
      <c r="J9" s="1136"/>
      <c r="K9" s="1136"/>
      <c r="L9" s="19"/>
    </row>
    <row r="10" spans="1:15" s="246" customFormat="1" x14ac:dyDescent="0.25">
      <c r="A10" s="1916"/>
      <c r="B10" s="1916"/>
      <c r="C10" s="955"/>
      <c r="D10" s="2020" t="s">
        <v>2031</v>
      </c>
      <c r="E10" s="1935"/>
      <c r="F10" s="1935"/>
      <c r="G10" s="1935"/>
      <c r="H10" s="1136"/>
      <c r="I10" s="1136"/>
      <c r="J10" s="1136"/>
      <c r="K10" s="1136"/>
      <c r="L10" s="19"/>
    </row>
    <row r="11" spans="1:15" s="246" customFormat="1" ht="52.5" customHeight="1" x14ac:dyDescent="0.25">
      <c r="A11" s="1916"/>
      <c r="B11" s="1916"/>
      <c r="C11" s="955"/>
      <c r="D11" s="2272" t="s">
        <v>2067</v>
      </c>
      <c r="E11" s="2272"/>
      <c r="F11" s="2272"/>
      <c r="G11" s="2272"/>
      <c r="H11" s="2272"/>
      <c r="I11" s="2272"/>
      <c r="J11" s="2272"/>
      <c r="K11" s="2272"/>
      <c r="L11" s="19"/>
    </row>
    <row r="12" spans="1:15" s="246" customFormat="1" ht="6" customHeight="1" x14ac:dyDescent="0.25">
      <c r="A12" s="1916"/>
      <c r="B12" s="1916"/>
      <c r="C12" s="955"/>
      <c r="D12" s="957"/>
      <c r="E12" s="957"/>
      <c r="F12" s="957"/>
      <c r="G12" s="957"/>
      <c r="H12" s="955"/>
      <c r="I12" s="955"/>
      <c r="J12" s="955"/>
      <c r="K12" s="955"/>
      <c r="L12" s="19"/>
    </row>
    <row r="13" spans="1:15" x14ac:dyDescent="0.25">
      <c r="A13" s="139"/>
      <c r="B13" s="139"/>
      <c r="C13" s="955"/>
      <c r="D13" s="957" t="s">
        <v>2022</v>
      </c>
      <c r="E13" s="957"/>
      <c r="F13" s="957"/>
      <c r="G13" s="957"/>
      <c r="H13" s="955"/>
      <c r="I13" s="955"/>
      <c r="J13" s="955"/>
      <c r="K13" s="955"/>
      <c r="L13" s="19"/>
    </row>
    <row r="14" spans="1:15" s="246" customFormat="1" ht="62.25" customHeight="1" x14ac:dyDescent="0.25">
      <c r="A14" s="1916"/>
      <c r="B14" s="1916"/>
      <c r="C14" s="955"/>
      <c r="D14" s="2256" t="s">
        <v>2034</v>
      </c>
      <c r="E14" s="2256"/>
      <c r="F14" s="2256"/>
      <c r="G14" s="2256"/>
      <c r="H14" s="2256"/>
      <c r="I14" s="2256"/>
      <c r="J14" s="2256"/>
      <c r="K14" s="2256"/>
      <c r="L14" s="19"/>
    </row>
    <row r="15" spans="1:15" s="246" customFormat="1" ht="29.25" customHeight="1" x14ac:dyDescent="0.25">
      <c r="A15" s="1916"/>
      <c r="B15" s="1916"/>
      <c r="C15" s="955"/>
      <c r="D15" s="2256" t="s">
        <v>2035</v>
      </c>
      <c r="E15" s="2256"/>
      <c r="F15" s="2256"/>
      <c r="G15" s="2256"/>
      <c r="H15" s="2256"/>
      <c r="I15" s="2256"/>
      <c r="J15" s="2256"/>
      <c r="K15" s="2256"/>
      <c r="L15" s="19"/>
    </row>
    <row r="16" spans="1:15" s="246" customFormat="1" x14ac:dyDescent="0.25">
      <c r="A16" s="1916"/>
      <c r="B16" s="1916"/>
      <c r="C16" s="955"/>
      <c r="D16" s="2270" t="s">
        <v>345</v>
      </c>
      <c r="E16" s="2270"/>
      <c r="F16" s="2270"/>
      <c r="G16" s="2270"/>
      <c r="H16" s="2270"/>
      <c r="I16" s="2270"/>
      <c r="J16" s="2270"/>
      <c r="K16" s="1136"/>
      <c r="L16" s="19"/>
    </row>
    <row r="17" spans="1:19" s="246" customFormat="1" x14ac:dyDescent="0.25">
      <c r="A17" s="1916"/>
      <c r="B17" s="1916"/>
      <c r="C17" s="955"/>
      <c r="D17" s="2270" t="s">
        <v>458</v>
      </c>
      <c r="E17" s="2270"/>
      <c r="F17" s="2270"/>
      <c r="G17" s="2270"/>
      <c r="H17" s="2270"/>
      <c r="I17" s="2270"/>
      <c r="J17" s="2270"/>
      <c r="K17" s="1136"/>
      <c r="L17" s="19"/>
    </row>
    <row r="18" spans="1:19" s="246" customFormat="1" x14ac:dyDescent="0.25">
      <c r="A18" s="1916"/>
      <c r="B18" s="1916"/>
      <c r="C18" s="955"/>
      <c r="D18" s="2270" t="s">
        <v>459</v>
      </c>
      <c r="E18" s="2270"/>
      <c r="F18" s="2270"/>
      <c r="G18" s="2270"/>
      <c r="H18" s="2270"/>
      <c r="I18" s="2270"/>
      <c r="J18" s="2270"/>
      <c r="K18" s="1136"/>
      <c r="L18" s="19"/>
    </row>
    <row r="19" spans="1:19" s="246" customFormat="1" ht="37.5" customHeight="1" x14ac:dyDescent="0.25">
      <c r="A19" s="1916"/>
      <c r="B19" s="1916"/>
      <c r="C19" s="955"/>
      <c r="D19" s="2256" t="s">
        <v>578</v>
      </c>
      <c r="E19" s="2256"/>
      <c r="F19" s="2256"/>
      <c r="G19" s="2256"/>
      <c r="H19" s="2256"/>
      <c r="I19" s="2256"/>
      <c r="J19" s="2256"/>
      <c r="K19" s="2256"/>
      <c r="L19" s="19"/>
    </row>
    <row r="20" spans="1:19" s="246" customFormat="1" ht="27.75" customHeight="1" x14ac:dyDescent="0.25">
      <c r="A20" s="1916"/>
      <c r="B20" s="1916"/>
      <c r="C20" s="955"/>
      <c r="D20" s="2256" t="s">
        <v>2036</v>
      </c>
      <c r="E20" s="2256"/>
      <c r="F20" s="2256"/>
      <c r="G20" s="2256"/>
      <c r="H20" s="2256"/>
      <c r="I20" s="2256"/>
      <c r="J20" s="2256"/>
      <c r="K20" s="2256"/>
      <c r="L20" s="19"/>
    </row>
    <row r="21" spans="1:19" s="246" customFormat="1" x14ac:dyDescent="0.25">
      <c r="A21" s="1916"/>
      <c r="B21" s="1916"/>
      <c r="C21" s="955"/>
      <c r="D21" s="2019" t="s">
        <v>460</v>
      </c>
      <c r="E21" s="1136"/>
      <c r="F21" s="1136"/>
      <c r="G21" s="1136"/>
      <c r="H21" s="1136"/>
      <c r="I21" s="1136"/>
      <c r="J21" s="1136"/>
      <c r="K21" s="1136"/>
      <c r="L21" s="19"/>
    </row>
    <row r="22" spans="1:19" s="246" customFormat="1" x14ac:dyDescent="0.25">
      <c r="A22" s="1916"/>
      <c r="B22" s="1916"/>
      <c r="C22" s="955"/>
      <c r="D22" s="2019" t="s">
        <v>461</v>
      </c>
      <c r="E22" s="1136"/>
      <c r="F22" s="1136"/>
      <c r="G22" s="1136"/>
      <c r="H22" s="1136"/>
      <c r="I22" s="1136"/>
      <c r="J22" s="1136"/>
      <c r="K22" s="1136"/>
      <c r="L22" s="19"/>
    </row>
    <row r="23" spans="1:19" s="246" customFormat="1" x14ac:dyDescent="0.25">
      <c r="A23" s="1916"/>
      <c r="B23" s="1916"/>
      <c r="C23" s="955"/>
      <c r="D23" s="2019" t="s">
        <v>462</v>
      </c>
      <c r="E23" s="1136"/>
      <c r="F23" s="1136"/>
      <c r="G23" s="1136"/>
      <c r="H23" s="1136"/>
      <c r="I23" s="1136"/>
      <c r="J23" s="1136"/>
      <c r="K23" s="1136"/>
      <c r="L23" s="19"/>
    </row>
    <row r="24" spans="1:19" s="246" customFormat="1" x14ac:dyDescent="0.25">
      <c r="A24" s="1916"/>
      <c r="B24" s="1916"/>
      <c r="C24" s="955"/>
      <c r="D24" s="2019" t="s">
        <v>463</v>
      </c>
      <c r="E24" s="1136"/>
      <c r="F24" s="1136"/>
      <c r="G24" s="1136"/>
      <c r="H24" s="1136"/>
      <c r="I24" s="1136"/>
      <c r="J24" s="1136"/>
      <c r="K24" s="1136"/>
      <c r="L24" s="19"/>
    </row>
    <row r="25" spans="1:19" s="246" customFormat="1" x14ac:dyDescent="0.25">
      <c r="A25" s="1916"/>
      <c r="B25" s="1916"/>
      <c r="C25" s="955"/>
      <c r="D25" s="2019" t="s">
        <v>464</v>
      </c>
      <c r="E25" s="1136"/>
      <c r="F25" s="1136"/>
      <c r="G25" s="1136"/>
      <c r="H25" s="1136"/>
      <c r="I25" s="1136"/>
      <c r="J25" s="1136"/>
      <c r="K25" s="1136"/>
      <c r="L25" s="19"/>
    </row>
    <row r="26" spans="1:19" s="246" customFormat="1" x14ac:dyDescent="0.25">
      <c r="A26" s="1916"/>
      <c r="B26" s="1916"/>
      <c r="C26" s="955"/>
      <c r="D26" s="2019" t="s">
        <v>465</v>
      </c>
      <c r="E26" s="1136"/>
      <c r="F26" s="1136"/>
      <c r="G26" s="1136"/>
      <c r="H26" s="1136"/>
      <c r="I26" s="1136"/>
      <c r="J26" s="1136"/>
      <c r="K26" s="1136"/>
      <c r="L26" s="19"/>
    </row>
    <row r="27" spans="1:19" s="246" customFormat="1" ht="6" customHeight="1" x14ac:dyDescent="0.25">
      <c r="A27" s="1916"/>
      <c r="B27" s="1916"/>
      <c r="C27" s="955"/>
      <c r="D27" s="1136"/>
      <c r="E27" s="1136"/>
      <c r="F27" s="1136"/>
      <c r="G27" s="1136"/>
      <c r="H27" s="1136"/>
      <c r="I27" s="1136"/>
      <c r="J27" s="1136"/>
      <c r="K27" s="1136"/>
      <c r="L27" s="19"/>
    </row>
    <row r="28" spans="1:19" s="246" customFormat="1" x14ac:dyDescent="0.25">
      <c r="A28" s="254">
        <v>7</v>
      </c>
      <c r="B28" s="254" t="s">
        <v>236</v>
      </c>
      <c r="C28" s="955"/>
      <c r="D28" s="2271" t="s">
        <v>466</v>
      </c>
      <c r="E28" s="2271"/>
      <c r="F28" s="2271"/>
      <c r="G28" s="2271"/>
      <c r="H28" s="2271"/>
      <c r="I28" s="2271"/>
      <c r="J28" s="2271"/>
      <c r="K28" s="1136"/>
      <c r="L28" s="19"/>
    </row>
    <row r="29" spans="1:19" s="246" customFormat="1" x14ac:dyDescent="0.25">
      <c r="A29" s="1916"/>
      <c r="B29" s="1916"/>
      <c r="C29" s="955"/>
      <c r="D29" s="957"/>
      <c r="E29" s="957"/>
      <c r="F29" s="957"/>
      <c r="G29" s="957"/>
      <c r="H29" s="955"/>
      <c r="I29" s="955"/>
      <c r="J29" s="955"/>
      <c r="K29" s="955"/>
      <c r="L29" s="19"/>
    </row>
    <row r="30" spans="1:19" ht="33" customHeight="1" x14ac:dyDescent="0.25">
      <c r="A30" s="139">
        <v>7</v>
      </c>
      <c r="B30" s="139" t="s">
        <v>235</v>
      </c>
      <c r="C30" s="1364"/>
      <c r="D30" s="2273" t="s">
        <v>1958</v>
      </c>
      <c r="E30" s="2273"/>
      <c r="F30" s="2273"/>
      <c r="G30" s="2273"/>
      <c r="H30" s="2273"/>
      <c r="I30" s="2273"/>
      <c r="J30" s="2273"/>
      <c r="K30" s="2273"/>
    </row>
    <row r="31" spans="1:19" ht="17.25" customHeight="1" x14ac:dyDescent="0.25">
      <c r="A31" s="139"/>
      <c r="B31" s="139"/>
      <c r="C31" s="955"/>
      <c r="D31" s="1236">
        <f>+'Merge Details_Printing instr'!A19</f>
        <v>2024</v>
      </c>
      <c r="E31" s="2276" t="s">
        <v>352</v>
      </c>
      <c r="F31" s="2276" t="s">
        <v>300</v>
      </c>
      <c r="G31" s="2277" t="s">
        <v>350</v>
      </c>
      <c r="H31" s="2278"/>
      <c r="I31" s="2278"/>
      <c r="J31" s="952"/>
      <c r="K31" s="952"/>
      <c r="M31" s="2274" t="s">
        <v>761</v>
      </c>
      <c r="N31" s="2274"/>
      <c r="O31" s="2274"/>
      <c r="P31" s="2274"/>
      <c r="Q31" s="2274"/>
      <c r="R31" s="2274"/>
      <c r="S31" s="2274"/>
    </row>
    <row r="32" spans="1:19" ht="44.25" customHeight="1" x14ac:dyDescent="0.25">
      <c r="A32" s="2102"/>
      <c r="B32" s="2102"/>
      <c r="C32" s="955"/>
      <c r="D32" s="1407"/>
      <c r="E32" s="2276"/>
      <c r="F32" s="2276"/>
      <c r="G32" s="2047" t="s">
        <v>621</v>
      </c>
      <c r="H32" s="2047" t="s">
        <v>622</v>
      </c>
      <c r="I32" s="2047" t="s">
        <v>623</v>
      </c>
      <c r="J32" s="2047" t="s">
        <v>625</v>
      </c>
      <c r="K32" s="1303" t="s">
        <v>103</v>
      </c>
      <c r="M32" s="2274"/>
      <c r="N32" s="2274"/>
      <c r="O32" s="2274"/>
      <c r="P32" s="2274"/>
      <c r="Q32" s="2274"/>
      <c r="R32" s="2274"/>
      <c r="S32" s="2274"/>
    </row>
    <row r="33" spans="1:16" x14ac:dyDescent="0.25">
      <c r="A33" s="139"/>
      <c r="B33" s="139"/>
      <c r="C33" s="955"/>
      <c r="D33" s="1295"/>
      <c r="E33" s="2276"/>
      <c r="F33" s="958" t="str">
        <f>+'Merge Details_Printing instr'!A24</f>
        <v>$'000</v>
      </c>
      <c r="G33" s="958" t="str">
        <f>+'Merge Details_Printing instr'!A24</f>
        <v>$'000</v>
      </c>
      <c r="H33" s="958" t="str">
        <f>+'Merge Details_Printing instr'!A24</f>
        <v>$'000</v>
      </c>
      <c r="I33" s="958" t="str">
        <f>+'Merge Details_Printing instr'!A24</f>
        <v>$'000</v>
      </c>
      <c r="J33" s="958" t="str">
        <f>+'Merge Details_Printing instr'!A24</f>
        <v>$'000</v>
      </c>
      <c r="K33" s="958" t="str">
        <f>+'Merge Details_Printing instr'!A24</f>
        <v>$'000</v>
      </c>
      <c r="L33" s="5" t="s">
        <v>624</v>
      </c>
      <c r="M33" s="272"/>
    </row>
    <row r="34" spans="1:16" x14ac:dyDescent="0.25">
      <c r="A34" s="139"/>
      <c r="B34" s="139"/>
      <c r="C34" s="955"/>
      <c r="D34" s="1408" t="s">
        <v>351</v>
      </c>
      <c r="E34" s="1408"/>
      <c r="F34" s="968"/>
      <c r="G34" s="968"/>
      <c r="H34" s="968"/>
      <c r="I34" s="968"/>
      <c r="J34" s="1409"/>
      <c r="K34" s="1409"/>
      <c r="L34" s="5"/>
      <c r="M34" s="450" t="s">
        <v>286</v>
      </c>
    </row>
    <row r="35" spans="1:16" x14ac:dyDescent="0.25">
      <c r="A35" s="139"/>
      <c r="B35" s="139"/>
      <c r="C35" s="955"/>
      <c r="D35" s="1254" t="s">
        <v>39</v>
      </c>
      <c r="E35" s="1410">
        <v>1.6899999999999998E-2</v>
      </c>
      <c r="F35" s="983">
        <f>'Notes 2 to 5'!K392+'Notes 2 to 5'!K393</f>
        <v>7407</v>
      </c>
      <c r="G35" s="983">
        <f>'Notes 2 to 5'!K394</f>
        <v>6000</v>
      </c>
      <c r="H35" s="983">
        <v>0</v>
      </c>
      <c r="I35" s="983">
        <v>0</v>
      </c>
      <c r="J35" s="983">
        <v>54</v>
      </c>
      <c r="K35" s="983">
        <f>SUM(F35:J35)</f>
        <v>13461</v>
      </c>
      <c r="L35" s="147">
        <f>+'Notes 2 to 5'!K395-K35</f>
        <v>0</v>
      </c>
      <c r="M35" s="451">
        <v>4.0999999999999996</v>
      </c>
    </row>
    <row r="36" spans="1:16" x14ac:dyDescent="0.25">
      <c r="A36" s="139"/>
      <c r="B36" s="139"/>
      <c r="C36" s="955"/>
      <c r="D36" s="1254" t="s">
        <v>1595</v>
      </c>
      <c r="E36" s="1410">
        <v>3.6499999999999998E-2</v>
      </c>
      <c r="F36" s="983">
        <v>0</v>
      </c>
      <c r="G36" s="983">
        <v>0</v>
      </c>
      <c r="H36" s="983">
        <v>200</v>
      </c>
      <c r="I36" s="983">
        <v>0</v>
      </c>
      <c r="J36" s="983">
        <v>0</v>
      </c>
      <c r="K36" s="983">
        <f>SUM(F36:J36)</f>
        <v>200</v>
      </c>
      <c r="L36" s="103">
        <f>+F36+G36+H36+I36+J36-K36</f>
        <v>0</v>
      </c>
      <c r="M36" s="451">
        <v>4.3</v>
      </c>
      <c r="N36" s="497"/>
    </row>
    <row r="37" spans="1:16" x14ac:dyDescent="0.25">
      <c r="A37" s="139"/>
      <c r="B37" s="139"/>
      <c r="C37" s="955"/>
      <c r="D37" s="1411" t="s">
        <v>40</v>
      </c>
      <c r="E37" s="1410">
        <v>3.6499999999999998E-2</v>
      </c>
      <c r="F37" s="983">
        <f>'Notes 2 to 5'!K427+'Notes 2 to 5'!K428+'Notes 2 to 5'!M429</f>
        <v>3235</v>
      </c>
      <c r="G37" s="983">
        <v>0</v>
      </c>
      <c r="H37" s="983">
        <v>0</v>
      </c>
      <c r="I37" s="983">
        <v>0</v>
      </c>
      <c r="J37" s="983">
        <f>+'Notes 2 to 5'!K440-F37</f>
        <v>3573</v>
      </c>
      <c r="K37" s="983">
        <f>SUM(F37:J37)</f>
        <v>6808</v>
      </c>
      <c r="L37" s="103">
        <f>+F37+G37+H37+I37+J37-K37</f>
        <v>0</v>
      </c>
      <c r="M37" s="451">
        <v>4.2</v>
      </c>
      <c r="N37" s="307" t="s">
        <v>1790</v>
      </c>
    </row>
    <row r="38" spans="1:16" x14ac:dyDescent="0.25">
      <c r="A38" s="139"/>
      <c r="B38" s="139"/>
      <c r="C38" s="955"/>
      <c r="D38" s="1254" t="s">
        <v>544</v>
      </c>
      <c r="E38" s="1269"/>
      <c r="F38" s="983">
        <v>0</v>
      </c>
      <c r="G38" s="983">
        <v>0</v>
      </c>
      <c r="H38" s="983">
        <v>0</v>
      </c>
      <c r="I38" s="983">
        <v>0</v>
      </c>
      <c r="J38" s="983">
        <f>'Notes 2 to 5'!K570</f>
        <v>48200</v>
      </c>
      <c r="K38" s="983">
        <f>SUM(F38:J38)</f>
        <v>48200</v>
      </c>
      <c r="L38" s="103">
        <f>+F38+G38+H38+I38+J38-K38</f>
        <v>0</v>
      </c>
      <c r="M38" s="451">
        <v>5.2</v>
      </c>
      <c r="N38" s="307"/>
    </row>
    <row r="39" spans="1:16" x14ac:dyDescent="0.25">
      <c r="A39" s="139"/>
      <c r="B39" s="139"/>
      <c r="C39" s="955"/>
      <c r="D39" s="1412" t="s">
        <v>538</v>
      </c>
      <c r="E39" s="1413"/>
      <c r="F39" s="1385">
        <f t="shared" ref="F39:K39" si="0">SUM(F35:F38)</f>
        <v>10642</v>
      </c>
      <c r="G39" s="1385">
        <f t="shared" si="0"/>
        <v>6000</v>
      </c>
      <c r="H39" s="1385">
        <f t="shared" si="0"/>
        <v>200</v>
      </c>
      <c r="I39" s="1385">
        <f t="shared" si="0"/>
        <v>0</v>
      </c>
      <c r="J39" s="1385">
        <f t="shared" si="0"/>
        <v>51827</v>
      </c>
      <c r="K39" s="1385">
        <f t="shared" si="0"/>
        <v>68669</v>
      </c>
      <c r="L39" s="103">
        <f>+F39+G39+H39+I39+J39-K39</f>
        <v>0</v>
      </c>
      <c r="M39" s="451"/>
    </row>
    <row r="40" spans="1:16" x14ac:dyDescent="0.25">
      <c r="A40" s="139"/>
      <c r="B40" s="139"/>
      <c r="C40" s="955"/>
      <c r="D40" s="1254"/>
      <c r="E40" s="1269"/>
      <c r="F40" s="968"/>
      <c r="G40" s="968"/>
      <c r="H40" s="968"/>
      <c r="I40" s="968"/>
      <c r="J40" s="1409"/>
      <c r="K40" s="1409"/>
      <c r="L40" s="97"/>
      <c r="M40" s="451"/>
    </row>
    <row r="41" spans="1:16" x14ac:dyDescent="0.25">
      <c r="A41" s="139"/>
      <c r="B41" s="139"/>
      <c r="C41" s="955"/>
      <c r="D41" s="1408" t="s">
        <v>353</v>
      </c>
      <c r="E41" s="1414"/>
      <c r="F41" s="968"/>
      <c r="G41" s="968"/>
      <c r="H41" s="968"/>
      <c r="I41" s="968"/>
      <c r="J41" s="1409"/>
      <c r="K41" s="1409"/>
      <c r="L41" s="97"/>
      <c r="M41" s="451"/>
    </row>
    <row r="42" spans="1:16" x14ac:dyDescent="0.25">
      <c r="A42" s="139"/>
      <c r="B42" s="139"/>
      <c r="C42" s="955"/>
      <c r="D42" s="1254" t="s">
        <v>240</v>
      </c>
      <c r="E42" s="1269"/>
      <c r="F42" s="983">
        <v>0</v>
      </c>
      <c r="G42" s="983">
        <v>0</v>
      </c>
      <c r="H42" s="983">
        <v>0</v>
      </c>
      <c r="I42" s="983">
        <v>0</v>
      </c>
      <c r="J42" s="983">
        <f>+K42</f>
        <v>8288</v>
      </c>
      <c r="K42" s="983">
        <f>'Note 6 to 8'!Q117</f>
        <v>8288</v>
      </c>
      <c r="L42" s="103">
        <f>+F42+G42+H42+I42+J42-K42</f>
        <v>0</v>
      </c>
      <c r="M42" s="451">
        <v>7.1</v>
      </c>
    </row>
    <row r="43" spans="1:16" x14ac:dyDescent="0.25">
      <c r="A43" s="139"/>
      <c r="B43" s="139"/>
      <c r="C43" s="955"/>
      <c r="D43" s="1254" t="s">
        <v>29</v>
      </c>
      <c r="E43" s="1269"/>
      <c r="F43" s="983">
        <v>0</v>
      </c>
      <c r="G43" s="983">
        <v>0</v>
      </c>
      <c r="H43" s="983">
        <v>0</v>
      </c>
      <c r="I43" s="983">
        <v>0</v>
      </c>
      <c r="J43" s="983">
        <f>+K43</f>
        <v>956</v>
      </c>
      <c r="K43" s="983">
        <f>'Note 6 to 8'!Q134</f>
        <v>956</v>
      </c>
      <c r="L43" s="103">
        <f>+F43+G43+H43+I43+J43-K43</f>
        <v>0</v>
      </c>
      <c r="M43" s="451">
        <v>7.2</v>
      </c>
    </row>
    <row r="44" spans="1:16" x14ac:dyDescent="0.25">
      <c r="A44" s="139"/>
      <c r="B44" s="139"/>
      <c r="C44" s="955"/>
      <c r="D44" s="1254" t="s">
        <v>26</v>
      </c>
      <c r="E44" s="1410">
        <v>5.4100000000000002E-2</v>
      </c>
      <c r="F44" s="983">
        <v>0</v>
      </c>
      <c r="G44" s="983">
        <f>'Note 6 to 8'!Q286</f>
        <v>1161</v>
      </c>
      <c r="H44" s="983">
        <f>'Note 6 to 8'!Q290</f>
        <v>2197</v>
      </c>
      <c r="I44" s="983">
        <v>0</v>
      </c>
      <c r="J44" s="983">
        <v>0</v>
      </c>
      <c r="K44" s="983">
        <f>+'Note 6 to 8'!Q293</f>
        <v>3358</v>
      </c>
      <c r="L44" s="103">
        <f>+F44+G44+H44+I44+J44-K44</f>
        <v>0</v>
      </c>
      <c r="M44" s="451">
        <v>8</v>
      </c>
    </row>
    <row r="45" spans="1:16" ht="17.25" customHeight="1" x14ac:dyDescent="0.25">
      <c r="A45" s="139"/>
      <c r="B45" s="139"/>
      <c r="C45" s="955"/>
      <c r="D45" s="1412" t="s">
        <v>539</v>
      </c>
      <c r="E45" s="1413"/>
      <c r="F45" s="1385">
        <f>SUM(F41:F44)</f>
        <v>0</v>
      </c>
      <c r="G45" s="1385">
        <f>SUM(G41:G44)</f>
        <v>1161</v>
      </c>
      <c r="H45" s="1385">
        <f>SUM(H41:H44)</f>
        <v>2197</v>
      </c>
      <c r="I45" s="1385">
        <f>SUM(I41:I44)</f>
        <v>0</v>
      </c>
      <c r="J45" s="1385">
        <f>SUM(J41:J44)</f>
        <v>9244</v>
      </c>
      <c r="K45" s="1385">
        <f>SUM(K40:K44)</f>
        <v>12602</v>
      </c>
      <c r="L45" s="103">
        <f>+F45+G45+H45+I45+J45-K45</f>
        <v>0</v>
      </c>
      <c r="M45" s="451"/>
    </row>
    <row r="46" spans="1:16" ht="17.25" customHeight="1" x14ac:dyDescent="0.25">
      <c r="A46" s="139"/>
      <c r="B46" s="139"/>
      <c r="C46" s="955"/>
      <c r="D46" s="1254"/>
      <c r="E46" s="1269"/>
      <c r="F46" s="968"/>
      <c r="G46" s="968"/>
      <c r="H46" s="968"/>
      <c r="I46" s="968"/>
      <c r="J46" s="1409"/>
      <c r="K46" s="1409"/>
      <c r="L46" s="97"/>
      <c r="M46" s="451"/>
      <c r="P46" s="19"/>
    </row>
    <row r="47" spans="1:16" ht="17.25" customHeight="1" x14ac:dyDescent="0.25">
      <c r="A47" s="139"/>
      <c r="B47" s="139"/>
      <c r="C47" s="955"/>
      <c r="D47" s="1254" t="s">
        <v>354</v>
      </c>
      <c r="E47" s="1269"/>
      <c r="F47" s="1385">
        <f t="shared" ref="F47:K47" si="1">+F39-F45</f>
        <v>10642</v>
      </c>
      <c r="G47" s="1385">
        <f t="shared" si="1"/>
        <v>4839</v>
      </c>
      <c r="H47" s="1385">
        <f t="shared" si="1"/>
        <v>-1997</v>
      </c>
      <c r="I47" s="1385">
        <f t="shared" si="1"/>
        <v>0</v>
      </c>
      <c r="J47" s="1385">
        <f t="shared" si="1"/>
        <v>42583</v>
      </c>
      <c r="K47" s="1385">
        <f t="shared" si="1"/>
        <v>56067</v>
      </c>
      <c r="L47" s="103">
        <f>+F47+G47+H47+I47+J47-K47</f>
        <v>0</v>
      </c>
      <c r="M47" s="451"/>
      <c r="P47" s="19"/>
    </row>
    <row r="48" spans="1:16" ht="17.25" customHeight="1" x14ac:dyDescent="0.25">
      <c r="A48" s="139"/>
      <c r="B48" s="139"/>
      <c r="C48" s="955"/>
      <c r="D48" s="1254"/>
      <c r="E48" s="1269"/>
      <c r="F48" s="952"/>
      <c r="G48" s="952"/>
      <c r="H48" s="952"/>
      <c r="I48" s="952"/>
      <c r="J48" s="1415"/>
      <c r="K48" s="1415"/>
      <c r="M48" s="451"/>
      <c r="P48" s="19"/>
    </row>
    <row r="49" spans="1:16" ht="17.25" customHeight="1" x14ac:dyDescent="0.25">
      <c r="A49" s="139"/>
      <c r="B49" s="139"/>
      <c r="C49" s="955"/>
      <c r="D49" s="1416">
        <f>+'Merge Details_Printing instr'!A20</f>
        <v>2023</v>
      </c>
      <c r="E49" s="2276" t="s">
        <v>352</v>
      </c>
      <c r="F49" s="2276" t="s">
        <v>300</v>
      </c>
      <c r="G49" s="2277" t="s">
        <v>350</v>
      </c>
      <c r="H49" s="2278"/>
      <c r="I49" s="2278"/>
      <c r="J49" s="952"/>
      <c r="K49" s="952"/>
      <c r="P49" s="19"/>
    </row>
    <row r="50" spans="1:16" ht="41.4" x14ac:dyDescent="0.25">
      <c r="A50" s="139"/>
      <c r="B50" s="139"/>
      <c r="C50" s="955"/>
      <c r="D50" s="1417"/>
      <c r="E50" s="2276"/>
      <c r="F50" s="2276"/>
      <c r="G50" s="1303" t="s">
        <v>621</v>
      </c>
      <c r="H50" s="1303" t="s">
        <v>622</v>
      </c>
      <c r="I50" s="1303" t="s">
        <v>623</v>
      </c>
      <c r="J50" s="1303" t="s">
        <v>625</v>
      </c>
      <c r="K50" s="1303" t="s">
        <v>103</v>
      </c>
      <c r="P50" s="19"/>
    </row>
    <row r="51" spans="1:16" x14ac:dyDescent="0.25">
      <c r="A51" s="139"/>
      <c r="B51" s="139"/>
      <c r="C51" s="955"/>
      <c r="D51" s="1295"/>
      <c r="E51" s="2276"/>
      <c r="F51" s="958" t="str">
        <f>+'Merge Details_Printing instr'!A24</f>
        <v>$'000</v>
      </c>
      <c r="G51" s="958" t="str">
        <f>+'Merge Details_Printing instr'!A24</f>
        <v>$'000</v>
      </c>
      <c r="H51" s="958" t="str">
        <f>+'Merge Details_Printing instr'!A24</f>
        <v>$'000</v>
      </c>
      <c r="I51" s="958" t="str">
        <f>+'Merge Details_Printing instr'!A24</f>
        <v>$'000</v>
      </c>
      <c r="J51" s="958" t="str">
        <f>+'Merge Details_Printing instr'!A24</f>
        <v>$'000</v>
      </c>
      <c r="K51" s="958" t="str">
        <f>+'Merge Details_Printing instr'!A24</f>
        <v>$'000</v>
      </c>
      <c r="P51" s="19"/>
    </row>
    <row r="52" spans="1:16" x14ac:dyDescent="0.25">
      <c r="A52" s="139"/>
      <c r="B52" s="139"/>
      <c r="C52" s="955"/>
      <c r="D52" s="1408" t="s">
        <v>351</v>
      </c>
      <c r="E52" s="1414"/>
      <c r="F52" s="1352"/>
      <c r="G52" s="1352"/>
      <c r="H52" s="952"/>
      <c r="I52" s="952"/>
      <c r="J52" s="1415"/>
      <c r="K52" s="1415"/>
    </row>
    <row r="53" spans="1:16" x14ac:dyDescent="0.25">
      <c r="A53" s="139"/>
      <c r="B53" s="139"/>
      <c r="C53" s="955"/>
      <c r="D53" s="1254" t="s">
        <v>39</v>
      </c>
      <c r="E53" s="1410">
        <v>2.8899999999999999E-2</v>
      </c>
      <c r="F53" s="983">
        <v>5750</v>
      </c>
      <c r="G53" s="983">
        <v>9000</v>
      </c>
      <c r="H53" s="983">
        <v>0</v>
      </c>
      <c r="I53" s="983">
        <v>0</v>
      </c>
      <c r="J53" s="983">
        <v>33</v>
      </c>
      <c r="K53" s="983">
        <f>SUM(F53:J53)</f>
        <v>14783</v>
      </c>
      <c r="L53" s="103">
        <f>+F53+G53+H53+I53+J53-K53</f>
        <v>0</v>
      </c>
      <c r="M53" s="88"/>
    </row>
    <row r="54" spans="1:16" ht="16.5" customHeight="1" x14ac:dyDescent="0.25">
      <c r="A54" s="139"/>
      <c r="B54" s="139"/>
      <c r="C54" s="955"/>
      <c r="D54" s="1254" t="s">
        <v>1595</v>
      </c>
      <c r="E54" s="1410">
        <v>4.65E-2</v>
      </c>
      <c r="F54" s="983">
        <v>0</v>
      </c>
      <c r="G54" s="983">
        <v>0</v>
      </c>
      <c r="H54" s="983">
        <v>196</v>
      </c>
      <c r="I54" s="983">
        <v>0</v>
      </c>
      <c r="J54" s="983">
        <v>0</v>
      </c>
      <c r="K54" s="983">
        <f>SUM(F54:J54)</f>
        <v>196</v>
      </c>
      <c r="L54" s="103">
        <f>+F54+G54+H54+I54+J54-K54</f>
        <v>0</v>
      </c>
      <c r="M54" s="88"/>
    </row>
    <row r="55" spans="1:16" x14ac:dyDescent="0.25">
      <c r="A55" s="139"/>
      <c r="B55" s="139"/>
      <c r="C55" s="955"/>
      <c r="D55" s="1411" t="s">
        <v>40</v>
      </c>
      <c r="E55" s="1410">
        <v>4.65E-2</v>
      </c>
      <c r="F55" s="983">
        <f>'Notes 2 to 5'!M427+'Notes 2 to 5'!M428+'Notes 2 to 5'!M429</f>
        <v>2863</v>
      </c>
      <c r="G55" s="983">
        <v>0</v>
      </c>
      <c r="H55" s="983">
        <v>0</v>
      </c>
      <c r="I55" s="983">
        <v>0</v>
      </c>
      <c r="J55" s="983">
        <f>'Notes 2 to 5'!M440-F55</f>
        <v>1827</v>
      </c>
      <c r="K55" s="983">
        <f>SUM(F55:J55)</f>
        <v>4690</v>
      </c>
      <c r="L55" s="103">
        <f>+F55+G55+H55+I55+J55-K55</f>
        <v>0</v>
      </c>
      <c r="M55" s="88"/>
    </row>
    <row r="56" spans="1:16" ht="20.25" customHeight="1" x14ac:dyDescent="0.25">
      <c r="A56" s="139"/>
      <c r="B56" s="139"/>
      <c r="C56" s="955"/>
      <c r="D56" s="1254" t="s">
        <v>544</v>
      </c>
      <c r="E56" s="1198"/>
      <c r="F56" s="983">
        <v>0</v>
      </c>
      <c r="G56" s="983">
        <v>0</v>
      </c>
      <c r="H56" s="983">
        <v>0</v>
      </c>
      <c r="I56" s="983">
        <v>0</v>
      </c>
      <c r="J56" s="983">
        <f>'Notes 2 to 5'!M570</f>
        <v>48090</v>
      </c>
      <c r="K56" s="983">
        <f>SUM(F56:J56)</f>
        <v>48090</v>
      </c>
      <c r="L56" s="103">
        <f>+F56+G56+H56+I56+J56-K56</f>
        <v>0</v>
      </c>
      <c r="M56" s="88"/>
    </row>
    <row r="57" spans="1:16" ht="16.5" customHeight="1" x14ac:dyDescent="0.25">
      <c r="A57" s="139"/>
      <c r="B57" s="139"/>
      <c r="C57" s="955"/>
      <c r="D57" s="1412" t="s">
        <v>538</v>
      </c>
      <c r="E57" s="1418"/>
      <c r="F57" s="1385">
        <f t="shared" ref="F57:K57" si="2">SUM(F53:F56)</f>
        <v>8613</v>
      </c>
      <c r="G57" s="1385">
        <f t="shared" si="2"/>
        <v>9000</v>
      </c>
      <c r="H57" s="1385">
        <f t="shared" si="2"/>
        <v>196</v>
      </c>
      <c r="I57" s="1385">
        <f t="shared" si="2"/>
        <v>0</v>
      </c>
      <c r="J57" s="1385">
        <f t="shared" si="2"/>
        <v>49950</v>
      </c>
      <c r="K57" s="1385">
        <f t="shared" si="2"/>
        <v>67759</v>
      </c>
      <c r="L57" s="103">
        <f>+F57+G57+H57+I57+J57-K57</f>
        <v>0</v>
      </c>
      <c r="M57" s="88"/>
    </row>
    <row r="58" spans="1:16" s="36" customFormat="1" x14ac:dyDescent="0.25">
      <c r="A58" s="139"/>
      <c r="B58" s="139"/>
      <c r="C58" s="1304"/>
      <c r="D58" s="1254"/>
      <c r="E58" s="1198"/>
      <c r="F58" s="968"/>
      <c r="G58" s="968"/>
      <c r="H58" s="968"/>
      <c r="I58" s="968"/>
      <c r="J58" s="1409"/>
      <c r="K58" s="1409"/>
      <c r="L58" s="88"/>
      <c r="M58" s="88"/>
    </row>
    <row r="59" spans="1:16" x14ac:dyDescent="0.25">
      <c r="A59" s="139"/>
      <c r="B59" s="139"/>
      <c r="C59" s="955"/>
      <c r="D59" s="1408" t="s">
        <v>353</v>
      </c>
      <c r="E59" s="1419"/>
      <c r="F59" s="968"/>
      <c r="G59" s="968"/>
      <c r="H59" s="968"/>
      <c r="I59" s="968"/>
      <c r="J59" s="1409"/>
      <c r="K59" s="1409"/>
      <c r="L59" s="88"/>
      <c r="M59" s="88"/>
    </row>
    <row r="60" spans="1:16" x14ac:dyDescent="0.25">
      <c r="A60" s="139"/>
      <c r="B60" s="139"/>
      <c r="C60" s="955"/>
      <c r="D60" s="1254" t="s">
        <v>240</v>
      </c>
      <c r="E60" s="1198"/>
      <c r="F60" s="983">
        <v>0</v>
      </c>
      <c r="G60" s="983">
        <v>0</v>
      </c>
      <c r="H60" s="983">
        <v>0</v>
      </c>
      <c r="I60" s="983">
        <v>0</v>
      </c>
      <c r="J60" s="983">
        <f>+K60</f>
        <v>7287</v>
      </c>
      <c r="K60" s="983">
        <f>'Note 6 to 8'!S117</f>
        <v>7287</v>
      </c>
      <c r="L60" s="103">
        <f>+F60+G60+H60+I60+J60-K60</f>
        <v>0</v>
      </c>
      <c r="M60" s="88"/>
    </row>
    <row r="61" spans="1:16" x14ac:dyDescent="0.25">
      <c r="A61" s="139"/>
      <c r="B61" s="139"/>
      <c r="C61" s="955"/>
      <c r="D61" s="1254" t="s">
        <v>29</v>
      </c>
      <c r="E61" s="1198"/>
      <c r="F61" s="983">
        <v>0</v>
      </c>
      <c r="G61" s="983">
        <v>0</v>
      </c>
      <c r="H61" s="983">
        <v>0</v>
      </c>
      <c r="I61" s="983">
        <v>0</v>
      </c>
      <c r="J61" s="983">
        <f>+K61</f>
        <v>574</v>
      </c>
      <c r="K61" s="983">
        <f>'Note 6 to 8'!S134</f>
        <v>574</v>
      </c>
      <c r="L61" s="103">
        <f>+F61+G61+H61+I61+J61-K61</f>
        <v>0</v>
      </c>
      <c r="M61" s="88"/>
    </row>
    <row r="62" spans="1:16" x14ac:dyDescent="0.25">
      <c r="A62" s="139"/>
      <c r="B62" s="139"/>
      <c r="C62" s="955"/>
      <c r="D62" s="1254" t="s">
        <v>26</v>
      </c>
      <c r="E62" s="1410">
        <v>6.3799999999999996E-2</v>
      </c>
      <c r="F62" s="983">
        <v>0</v>
      </c>
      <c r="G62" s="983">
        <f>'Note 6 to 8'!S286</f>
        <v>2704</v>
      </c>
      <c r="H62" s="983">
        <f>'Note 6 to 8'!S290</f>
        <v>3344</v>
      </c>
      <c r="I62" s="983">
        <v>0</v>
      </c>
      <c r="J62" s="983">
        <v>0</v>
      </c>
      <c r="K62" s="983">
        <f>+'Note 6 to 8'!S293</f>
        <v>6048</v>
      </c>
      <c r="L62" s="103">
        <f>+F62+G62+H62+I62+J62-K62</f>
        <v>0</v>
      </c>
      <c r="M62" s="88"/>
    </row>
    <row r="63" spans="1:16" x14ac:dyDescent="0.25">
      <c r="A63" s="139"/>
      <c r="B63" s="139"/>
      <c r="C63" s="955"/>
      <c r="D63" s="1412" t="s">
        <v>539</v>
      </c>
      <c r="E63" s="1413"/>
      <c r="F63" s="1385">
        <f>SUM(F59:F62)</f>
        <v>0</v>
      </c>
      <c r="G63" s="1385">
        <f>SUM(G59:G62)</f>
        <v>2704</v>
      </c>
      <c r="H63" s="1385">
        <f>SUM(H59:H62)</f>
        <v>3344</v>
      </c>
      <c r="I63" s="1385">
        <f>SUM(I59:I62)</f>
        <v>0</v>
      </c>
      <c r="J63" s="1385">
        <f>SUM(J59:J62)</f>
        <v>7861</v>
      </c>
      <c r="K63" s="1385">
        <f>SUM(K58:K62)</f>
        <v>13909</v>
      </c>
      <c r="L63" s="103">
        <f>+F63+G63+H63+I63+J63-K63</f>
        <v>0</v>
      </c>
      <c r="M63" s="88"/>
    </row>
    <row r="64" spans="1:16" x14ac:dyDescent="0.25">
      <c r="A64" s="139"/>
      <c r="B64" s="139"/>
      <c r="C64" s="955"/>
      <c r="D64" s="1254"/>
      <c r="E64" s="1254"/>
      <c r="F64" s="968"/>
      <c r="G64" s="968"/>
      <c r="H64" s="968"/>
      <c r="I64" s="968"/>
      <c r="J64" s="1409"/>
      <c r="K64" s="1409"/>
      <c r="L64" s="88"/>
      <c r="M64" s="88"/>
    </row>
    <row r="65" spans="1:13" x14ac:dyDescent="0.25">
      <c r="A65" s="139"/>
      <c r="B65" s="139"/>
      <c r="C65" s="955"/>
      <c r="D65" s="1254" t="s">
        <v>354</v>
      </c>
      <c r="E65" s="1254"/>
      <c r="F65" s="1385">
        <f t="shared" ref="F65:K65" si="3">+F57-F63</f>
        <v>8613</v>
      </c>
      <c r="G65" s="1385">
        <f t="shared" si="3"/>
        <v>6296</v>
      </c>
      <c r="H65" s="1385">
        <f t="shared" si="3"/>
        <v>-3148</v>
      </c>
      <c r="I65" s="1385">
        <f t="shared" si="3"/>
        <v>0</v>
      </c>
      <c r="J65" s="1385">
        <f t="shared" si="3"/>
        <v>42089</v>
      </c>
      <c r="K65" s="1385">
        <f t="shared" si="3"/>
        <v>53850</v>
      </c>
      <c r="L65" s="103">
        <f>+F65+G65+H65+I65+J65-K65</f>
        <v>0</v>
      </c>
      <c r="M65" s="88"/>
    </row>
    <row r="66" spans="1:13" s="246" customFormat="1" x14ac:dyDescent="0.25">
      <c r="A66" s="256"/>
      <c r="B66" s="256"/>
      <c r="C66" s="955"/>
      <c r="D66" s="1254"/>
      <c r="E66" s="1254"/>
      <c r="F66" s="983"/>
      <c r="G66" s="983"/>
      <c r="H66" s="983"/>
      <c r="I66" s="983"/>
      <c r="J66" s="983"/>
      <c r="K66" s="983"/>
      <c r="L66" s="103"/>
      <c r="M66" s="88"/>
    </row>
    <row r="67" spans="1:13" s="246" customFormat="1" x14ac:dyDescent="0.25">
      <c r="A67" s="672"/>
      <c r="B67" s="672"/>
      <c r="C67" s="955"/>
      <c r="D67" s="1254"/>
      <c r="E67" s="1254"/>
      <c r="F67" s="983"/>
      <c r="G67" s="983"/>
      <c r="H67" s="983"/>
      <c r="I67" s="983"/>
      <c r="J67" s="983"/>
      <c r="K67" s="983"/>
      <c r="L67" s="103"/>
      <c r="M67" s="88"/>
    </row>
    <row r="68" spans="1:13" s="246" customFormat="1" x14ac:dyDescent="0.25">
      <c r="A68" s="256"/>
      <c r="B68" s="256"/>
      <c r="C68" s="1036"/>
      <c r="D68" s="1420" t="s">
        <v>713</v>
      </c>
      <c r="E68" s="1421"/>
      <c r="F68" s="1422"/>
      <c r="G68" s="1422"/>
      <c r="H68" s="1422"/>
      <c r="I68" s="1422"/>
      <c r="J68" s="1422"/>
      <c r="K68" s="1422"/>
      <c r="L68" s="103"/>
      <c r="M68" s="88"/>
    </row>
    <row r="69" spans="1:13" s="246" customFormat="1" x14ac:dyDescent="0.25">
      <c r="A69" s="256"/>
      <c r="B69" s="256"/>
      <c r="C69" s="1036"/>
      <c r="D69" s="1423"/>
      <c r="E69" s="1423"/>
      <c r="F69" s="1422"/>
      <c r="G69" s="1422"/>
      <c r="H69" s="1422"/>
      <c r="I69" s="1422"/>
      <c r="J69" s="1422"/>
      <c r="K69" s="1422"/>
      <c r="L69" s="103"/>
      <c r="M69" s="88"/>
    </row>
    <row r="70" spans="1:13" s="246" customFormat="1" x14ac:dyDescent="0.25">
      <c r="A70" s="256" t="s">
        <v>282</v>
      </c>
      <c r="B70" s="256" t="s">
        <v>708</v>
      </c>
      <c r="C70" s="1036"/>
      <c r="D70" s="1424" t="s">
        <v>762</v>
      </c>
      <c r="E70" s="1421"/>
      <c r="F70" s="1422"/>
      <c r="G70" s="1422"/>
      <c r="H70" s="1422"/>
      <c r="I70" s="1422"/>
      <c r="J70" s="1425">
        <f>'Merge Details_Printing instr'!A19</f>
        <v>2024</v>
      </c>
      <c r="K70" s="1425">
        <f>'Merge Details_Printing instr'!A20</f>
        <v>2023</v>
      </c>
      <c r="L70" s="103"/>
      <c r="M70" s="88"/>
    </row>
    <row r="71" spans="1:13" s="246" customFormat="1" x14ac:dyDescent="0.25">
      <c r="A71" s="256"/>
      <c r="B71" s="256"/>
      <c r="C71" s="1036"/>
      <c r="D71" s="1426" t="s">
        <v>707</v>
      </c>
      <c r="E71" s="1421"/>
      <c r="F71" s="1422"/>
      <c r="G71" s="1422"/>
      <c r="H71" s="1422"/>
      <c r="I71" s="1422"/>
      <c r="J71" s="1427" t="s">
        <v>60</v>
      </c>
      <c r="K71" s="1427" t="s">
        <v>60</v>
      </c>
      <c r="L71" s="103"/>
      <c r="M71" s="88"/>
    </row>
    <row r="72" spans="1:13" s="246" customFormat="1" x14ac:dyDescent="0.25">
      <c r="A72" s="256"/>
      <c r="B72" s="256"/>
      <c r="C72" s="1036"/>
      <c r="D72" s="1428" t="s">
        <v>709</v>
      </c>
      <c r="E72" s="1421"/>
      <c r="F72" s="1422"/>
      <c r="G72" s="1422"/>
      <c r="H72" s="1422"/>
      <c r="I72" s="1422"/>
      <c r="J72" s="1422">
        <v>0</v>
      </c>
      <c r="K72" s="1422">
        <v>0</v>
      </c>
      <c r="L72" s="103"/>
      <c r="M72" s="88"/>
    </row>
    <row r="73" spans="1:13" s="246" customFormat="1" x14ac:dyDescent="0.25">
      <c r="A73" s="256"/>
      <c r="B73" s="256"/>
      <c r="C73" s="1036"/>
      <c r="D73" s="1428" t="s">
        <v>710</v>
      </c>
      <c r="E73" s="1426"/>
      <c r="F73" s="1426"/>
      <c r="G73" s="1422"/>
      <c r="H73" s="1422"/>
      <c r="I73" s="1422"/>
      <c r="J73" s="1422">
        <v>0</v>
      </c>
      <c r="K73" s="1422">
        <v>0</v>
      </c>
      <c r="L73" s="103"/>
      <c r="M73" s="88"/>
    </row>
    <row r="74" spans="1:13" s="246" customFormat="1" x14ac:dyDescent="0.25">
      <c r="A74" s="256"/>
      <c r="B74" s="256"/>
      <c r="C74" s="1036"/>
      <c r="D74" s="1426" t="s">
        <v>801</v>
      </c>
      <c r="E74" s="1426"/>
      <c r="F74" s="1426"/>
      <c r="G74" s="1422"/>
      <c r="H74" s="1422"/>
      <c r="I74" s="1422"/>
      <c r="J74" s="1422"/>
      <c r="K74" s="1422"/>
      <c r="L74" s="103"/>
      <c r="M74" s="88"/>
    </row>
    <row r="75" spans="1:13" s="246" customFormat="1" x14ac:dyDescent="0.25">
      <c r="A75" s="256"/>
      <c r="B75" s="256"/>
      <c r="C75" s="1036"/>
      <c r="D75" s="1423"/>
      <c r="E75" s="1426"/>
      <c r="F75" s="1426"/>
      <c r="G75" s="1422"/>
      <c r="H75" s="1422"/>
      <c r="I75" s="1422"/>
      <c r="J75" s="1422"/>
      <c r="K75" s="1422"/>
      <c r="L75" s="103"/>
      <c r="M75" s="88"/>
    </row>
    <row r="76" spans="1:13" s="246" customFormat="1" ht="28.8" x14ac:dyDescent="0.25">
      <c r="A76" s="256" t="s">
        <v>282</v>
      </c>
      <c r="B76" s="256" t="s">
        <v>712</v>
      </c>
      <c r="C76" s="1036"/>
      <c r="D76" s="1429" t="s">
        <v>711</v>
      </c>
      <c r="E76" s="1426"/>
      <c r="F76" s="1426"/>
      <c r="G76" s="1422"/>
      <c r="H76" s="1422"/>
      <c r="I76" s="1422"/>
      <c r="J76" s="1422"/>
      <c r="K76" s="1422"/>
      <c r="L76" s="103"/>
      <c r="M76" s="88"/>
    </row>
    <row r="77" spans="1:13" s="246" customFormat="1" ht="49.5" customHeight="1" x14ac:dyDescent="0.25">
      <c r="A77" s="256"/>
      <c r="B77" s="256"/>
      <c r="C77" s="1036"/>
      <c r="D77" s="2275" t="s">
        <v>755</v>
      </c>
      <c r="E77" s="2275"/>
      <c r="F77" s="2275"/>
      <c r="G77" s="2275"/>
      <c r="H77" s="2275"/>
      <c r="I77" s="2275"/>
      <c r="J77" s="2275"/>
      <c r="K77" s="2275"/>
      <c r="L77" s="103"/>
      <c r="M77" s="88"/>
    </row>
    <row r="78" spans="1:13" ht="8.25" customHeight="1" x14ac:dyDescent="0.25">
      <c r="A78" s="141"/>
      <c r="B78" s="141"/>
      <c r="C78" s="955"/>
      <c r="D78" s="955"/>
      <c r="E78" s="952"/>
      <c r="F78" s="952"/>
      <c r="G78" s="952"/>
      <c r="H78" s="952"/>
      <c r="I78" s="952"/>
      <c r="J78" s="952"/>
      <c r="K78" s="952"/>
      <c r="L78" s="88"/>
      <c r="M78" s="88"/>
    </row>
    <row r="79" spans="1:13" x14ac:dyDescent="0.25">
      <c r="C79" s="955"/>
      <c r="D79" s="952"/>
      <c r="E79" s="952"/>
      <c r="F79" s="952"/>
      <c r="G79" s="952"/>
      <c r="H79" s="952"/>
      <c r="I79" s="952"/>
      <c r="J79" s="952"/>
      <c r="K79" s="952"/>
    </row>
    <row r="80" spans="1:13" x14ac:dyDescent="0.25">
      <c r="C80" s="955"/>
      <c r="D80" s="952"/>
      <c r="E80" s="952"/>
      <c r="F80" s="952"/>
      <c r="G80" s="952"/>
      <c r="H80" s="952"/>
      <c r="I80" s="952"/>
      <c r="J80" s="952"/>
      <c r="K80" s="952"/>
    </row>
    <row r="81" spans="3:11" x14ac:dyDescent="0.25">
      <c r="C81" s="955"/>
      <c r="D81" s="952"/>
      <c r="E81" s="952"/>
      <c r="F81" s="952"/>
      <c r="G81" s="952"/>
      <c r="H81" s="952"/>
      <c r="I81" s="952"/>
      <c r="J81" s="952"/>
      <c r="K81" s="952"/>
    </row>
    <row r="82" spans="3:11" x14ac:dyDescent="0.25">
      <c r="C82" s="955"/>
      <c r="D82" s="952"/>
      <c r="E82" s="952"/>
      <c r="F82" s="952"/>
      <c r="G82" s="952"/>
      <c r="H82" s="952"/>
      <c r="I82" s="952"/>
      <c r="J82" s="952"/>
      <c r="K82" s="952"/>
    </row>
    <row r="83" spans="3:11" x14ac:dyDescent="0.25">
      <c r="C83" s="955"/>
      <c r="D83" s="952"/>
      <c r="E83" s="952"/>
      <c r="F83" s="952"/>
      <c r="G83" s="952"/>
      <c r="H83" s="952"/>
      <c r="I83" s="952"/>
      <c r="J83" s="952"/>
      <c r="K83" s="952"/>
    </row>
    <row r="84" spans="3:11" x14ac:dyDescent="0.25">
      <c r="C84" s="955"/>
      <c r="D84" s="952"/>
      <c r="E84" s="952"/>
      <c r="F84" s="952"/>
      <c r="G84" s="952"/>
      <c r="H84" s="952"/>
      <c r="I84" s="952"/>
      <c r="J84" s="952"/>
      <c r="K84" s="952"/>
    </row>
    <row r="85" spans="3:11" x14ac:dyDescent="0.25">
      <c r="C85" s="955"/>
      <c r="D85" s="952"/>
      <c r="E85" s="952"/>
      <c r="F85" s="952"/>
      <c r="G85" s="952"/>
      <c r="H85" s="952"/>
      <c r="I85" s="952"/>
      <c r="J85" s="952"/>
      <c r="K85" s="952"/>
    </row>
    <row r="86" spans="3:11" x14ac:dyDescent="0.25">
      <c r="C86" s="955"/>
      <c r="D86" s="952"/>
      <c r="E86" s="952"/>
      <c r="F86" s="952"/>
      <c r="G86" s="952"/>
      <c r="H86" s="952"/>
      <c r="I86" s="952"/>
      <c r="J86" s="952"/>
      <c r="K86" s="952"/>
    </row>
    <row r="87" spans="3:11" x14ac:dyDescent="0.25">
      <c r="C87" s="955"/>
      <c r="D87" s="952"/>
      <c r="E87" s="952"/>
      <c r="F87" s="952"/>
      <c r="G87" s="952"/>
      <c r="H87" s="952"/>
      <c r="I87" s="952"/>
      <c r="J87" s="952"/>
      <c r="K87" s="952"/>
    </row>
    <row r="88" spans="3:11" x14ac:dyDescent="0.25">
      <c r="C88" s="955"/>
      <c r="D88" s="952"/>
      <c r="E88" s="952"/>
      <c r="F88" s="952"/>
      <c r="G88" s="952"/>
      <c r="H88" s="952"/>
      <c r="I88" s="952"/>
      <c r="J88" s="952"/>
      <c r="K88" s="952"/>
    </row>
    <row r="89" spans="3:11" x14ac:dyDescent="0.25">
      <c r="C89" s="955"/>
      <c r="D89" s="955"/>
      <c r="E89" s="955"/>
      <c r="F89" s="955"/>
      <c r="G89" s="955"/>
      <c r="H89" s="955"/>
      <c r="I89" s="955"/>
      <c r="J89" s="955"/>
      <c r="K89" s="955"/>
    </row>
    <row r="90" spans="3:11" x14ac:dyDescent="0.25">
      <c r="C90" s="955"/>
      <c r="D90" s="955"/>
      <c r="E90" s="955"/>
      <c r="F90" s="955"/>
      <c r="G90" s="955"/>
      <c r="H90" s="955"/>
      <c r="I90" s="955"/>
      <c r="J90" s="955"/>
      <c r="K90" s="955"/>
    </row>
    <row r="91" spans="3:11" x14ac:dyDescent="0.25">
      <c r="C91" s="955"/>
      <c r="D91" s="955"/>
      <c r="E91" s="955"/>
      <c r="F91" s="955"/>
      <c r="G91" s="955"/>
      <c r="H91" s="955"/>
      <c r="I91" s="955"/>
      <c r="J91" s="955"/>
      <c r="K91" s="955"/>
    </row>
    <row r="92" spans="3:11" x14ac:dyDescent="0.25">
      <c r="C92" s="955"/>
      <c r="D92" s="955"/>
      <c r="E92" s="955"/>
      <c r="F92" s="955"/>
      <c r="G92" s="955"/>
      <c r="H92" s="955"/>
      <c r="I92" s="955"/>
      <c r="J92" s="955"/>
      <c r="K92" s="955"/>
    </row>
    <row r="93" spans="3:11" x14ac:dyDescent="0.25">
      <c r="C93" s="955"/>
      <c r="D93" s="955"/>
      <c r="E93" s="955"/>
      <c r="F93" s="955"/>
      <c r="G93" s="955"/>
      <c r="H93" s="955"/>
      <c r="I93" s="955"/>
      <c r="J93" s="955"/>
      <c r="K93" s="955"/>
    </row>
    <row r="94" spans="3:11" x14ac:dyDescent="0.25">
      <c r="C94" s="955"/>
      <c r="D94" s="955"/>
      <c r="E94" s="955"/>
      <c r="F94" s="955"/>
      <c r="G94" s="955"/>
      <c r="H94" s="955"/>
      <c r="I94" s="955"/>
      <c r="J94" s="955"/>
      <c r="K94" s="955"/>
    </row>
    <row r="95" spans="3:11" x14ac:dyDescent="0.25">
      <c r="C95" s="955"/>
      <c r="D95" s="955"/>
      <c r="E95" s="955"/>
      <c r="F95" s="955"/>
      <c r="G95" s="955"/>
      <c r="H95" s="955"/>
      <c r="I95" s="955"/>
      <c r="J95" s="955"/>
      <c r="K95" s="955"/>
    </row>
    <row r="96" spans="3:11" x14ac:dyDescent="0.25">
      <c r="C96" s="955"/>
      <c r="D96" s="955"/>
      <c r="E96" s="955"/>
      <c r="F96" s="955"/>
      <c r="G96" s="955"/>
      <c r="H96" s="955"/>
      <c r="I96" s="955"/>
      <c r="J96" s="955"/>
      <c r="K96" s="955"/>
    </row>
    <row r="97" spans="3:11" x14ac:dyDescent="0.25">
      <c r="C97" s="955"/>
      <c r="D97" s="955"/>
      <c r="E97" s="955"/>
      <c r="F97" s="955"/>
      <c r="G97" s="955"/>
      <c r="H97" s="955"/>
      <c r="I97" s="955"/>
      <c r="J97" s="955"/>
      <c r="K97" s="955"/>
    </row>
    <row r="98" spans="3:11" x14ac:dyDescent="0.25">
      <c r="C98" s="955"/>
      <c r="D98" s="955"/>
      <c r="E98" s="955"/>
      <c r="F98" s="955"/>
      <c r="G98" s="955"/>
      <c r="H98" s="955"/>
      <c r="I98" s="955"/>
      <c r="J98" s="955"/>
      <c r="K98" s="955"/>
    </row>
    <row r="99" spans="3:11" x14ac:dyDescent="0.25">
      <c r="C99" s="955"/>
      <c r="D99" s="955"/>
      <c r="E99" s="955"/>
      <c r="F99" s="955"/>
      <c r="G99" s="955"/>
      <c r="H99" s="955"/>
      <c r="I99" s="955"/>
      <c r="J99" s="955"/>
      <c r="K99" s="955"/>
    </row>
    <row r="100" spans="3:11" x14ac:dyDescent="0.25">
      <c r="C100" s="955"/>
      <c r="D100" s="955"/>
      <c r="E100" s="955"/>
      <c r="F100" s="955"/>
      <c r="G100" s="955"/>
      <c r="H100" s="955"/>
      <c r="I100" s="955"/>
      <c r="J100" s="955"/>
      <c r="K100" s="955"/>
    </row>
    <row r="101" spans="3:11" x14ac:dyDescent="0.25">
      <c r="C101" s="955"/>
      <c r="D101" s="955"/>
      <c r="E101" s="955"/>
      <c r="F101" s="955"/>
      <c r="G101" s="955"/>
      <c r="H101" s="955"/>
      <c r="I101" s="955"/>
      <c r="J101" s="955"/>
      <c r="K101" s="955"/>
    </row>
    <row r="102" spans="3:11" x14ac:dyDescent="0.25">
      <c r="C102" s="955"/>
      <c r="D102" s="955"/>
      <c r="E102" s="955"/>
      <c r="F102" s="955"/>
      <c r="G102" s="955"/>
      <c r="H102" s="955"/>
      <c r="I102" s="955"/>
      <c r="J102" s="955"/>
      <c r="K102" s="955"/>
    </row>
    <row r="103" spans="3:11" x14ac:dyDescent="0.25">
      <c r="C103" s="955"/>
      <c r="D103" s="955"/>
      <c r="E103" s="955"/>
      <c r="F103" s="955"/>
      <c r="G103" s="955"/>
      <c r="H103" s="955"/>
      <c r="I103" s="955"/>
      <c r="J103" s="955"/>
      <c r="K103" s="955"/>
    </row>
    <row r="104" spans="3:11" x14ac:dyDescent="0.25">
      <c r="C104" s="955"/>
      <c r="D104" s="955"/>
      <c r="E104" s="955"/>
      <c r="F104" s="955"/>
      <c r="G104" s="955"/>
      <c r="H104" s="955"/>
      <c r="I104" s="955"/>
      <c r="J104" s="955"/>
      <c r="K104" s="955"/>
    </row>
    <row r="105" spans="3:11" x14ac:dyDescent="0.25">
      <c r="C105" s="955"/>
      <c r="D105" s="955"/>
      <c r="E105" s="955"/>
      <c r="F105" s="955"/>
      <c r="G105" s="955"/>
      <c r="H105" s="955"/>
      <c r="I105" s="955"/>
      <c r="J105" s="955"/>
      <c r="K105" s="955"/>
    </row>
    <row r="106" spans="3:11" x14ac:dyDescent="0.25">
      <c r="C106" s="955"/>
      <c r="D106" s="955"/>
      <c r="E106" s="955"/>
      <c r="F106" s="955"/>
      <c r="G106" s="955"/>
      <c r="H106" s="955"/>
      <c r="I106" s="955"/>
      <c r="J106" s="955"/>
      <c r="K106" s="955"/>
    </row>
    <row r="107" spans="3:11" x14ac:dyDescent="0.25">
      <c r="C107" s="955"/>
      <c r="D107" s="955"/>
      <c r="E107" s="955"/>
      <c r="F107" s="955"/>
      <c r="G107" s="955"/>
      <c r="H107" s="955"/>
      <c r="I107" s="955"/>
      <c r="J107" s="955"/>
      <c r="K107" s="955"/>
    </row>
    <row r="108" spans="3:11" x14ac:dyDescent="0.25">
      <c r="C108" s="955"/>
      <c r="D108" s="955"/>
      <c r="E108" s="955"/>
      <c r="F108" s="955"/>
      <c r="G108" s="955"/>
      <c r="H108" s="955"/>
      <c r="I108" s="955"/>
      <c r="J108" s="955"/>
      <c r="K108" s="955"/>
    </row>
    <row r="109" spans="3:11" x14ac:dyDescent="0.25">
      <c r="C109" s="955"/>
      <c r="D109" s="955"/>
      <c r="E109" s="955"/>
      <c r="F109" s="955"/>
      <c r="G109" s="955"/>
      <c r="H109" s="955"/>
      <c r="I109" s="955"/>
      <c r="J109" s="955"/>
      <c r="K109" s="955"/>
    </row>
    <row r="110" spans="3:11" x14ac:dyDescent="0.25">
      <c r="C110" s="955"/>
      <c r="D110" s="955"/>
      <c r="E110" s="955"/>
      <c r="F110" s="955"/>
      <c r="G110" s="955"/>
      <c r="H110" s="955"/>
      <c r="I110" s="955"/>
      <c r="J110" s="955"/>
      <c r="K110" s="955"/>
    </row>
    <row r="111" spans="3:11" x14ac:dyDescent="0.25">
      <c r="C111" s="955"/>
      <c r="D111" s="955"/>
      <c r="E111" s="955"/>
      <c r="F111" s="955"/>
      <c r="G111" s="955"/>
      <c r="H111" s="955"/>
      <c r="I111" s="955"/>
      <c r="J111" s="955"/>
      <c r="K111" s="955"/>
    </row>
    <row r="112" spans="3:11" x14ac:dyDescent="0.25">
      <c r="C112" s="955"/>
      <c r="D112" s="955"/>
      <c r="E112" s="955"/>
      <c r="F112" s="955"/>
      <c r="G112" s="955"/>
      <c r="H112" s="955"/>
      <c r="I112" s="955"/>
      <c r="J112" s="955"/>
      <c r="K112" s="955"/>
    </row>
    <row r="113" spans="3:11" x14ac:dyDescent="0.25">
      <c r="C113" s="955"/>
      <c r="D113" s="955"/>
      <c r="E113" s="955"/>
      <c r="F113" s="955"/>
      <c r="G113" s="955"/>
      <c r="H113" s="955"/>
      <c r="I113" s="955"/>
      <c r="J113" s="955"/>
      <c r="K113" s="955"/>
    </row>
    <row r="114" spans="3:11" x14ac:dyDescent="0.25">
      <c r="C114" s="955"/>
      <c r="D114" s="955"/>
      <c r="E114" s="955"/>
      <c r="F114" s="955"/>
      <c r="G114" s="955"/>
      <c r="H114" s="955"/>
      <c r="I114" s="955"/>
      <c r="J114" s="955"/>
      <c r="K114" s="955"/>
    </row>
    <row r="115" spans="3:11" x14ac:dyDescent="0.25">
      <c r="C115" s="955"/>
      <c r="D115" s="955"/>
      <c r="E115" s="955"/>
      <c r="F115" s="955"/>
      <c r="G115" s="955"/>
      <c r="H115" s="955"/>
      <c r="I115" s="955"/>
      <c r="J115" s="955"/>
      <c r="K115" s="955"/>
    </row>
    <row r="116" spans="3:11" x14ac:dyDescent="0.25">
      <c r="C116" s="955"/>
      <c r="D116" s="955"/>
      <c r="E116" s="955"/>
      <c r="F116" s="955"/>
      <c r="G116" s="955"/>
      <c r="H116" s="955"/>
      <c r="I116" s="955"/>
      <c r="J116" s="955"/>
      <c r="K116" s="955"/>
    </row>
    <row r="117" spans="3:11" x14ac:dyDescent="0.25">
      <c r="C117" s="955"/>
      <c r="D117" s="955"/>
      <c r="E117" s="955"/>
      <c r="F117" s="955"/>
      <c r="G117" s="955"/>
      <c r="H117" s="955"/>
      <c r="I117" s="955"/>
      <c r="J117" s="955"/>
      <c r="K117" s="955"/>
    </row>
    <row r="118" spans="3:11" x14ac:dyDescent="0.25">
      <c r="C118" s="955"/>
      <c r="D118" s="955"/>
      <c r="E118" s="955"/>
      <c r="F118" s="955"/>
      <c r="G118" s="955"/>
      <c r="H118" s="955"/>
      <c r="I118" s="955"/>
      <c r="J118" s="955"/>
      <c r="K118" s="955"/>
    </row>
    <row r="119" spans="3:11" x14ac:dyDescent="0.25">
      <c r="C119" s="955"/>
      <c r="D119" s="955"/>
      <c r="E119" s="955"/>
      <c r="F119" s="955"/>
      <c r="G119" s="955"/>
      <c r="H119" s="955"/>
      <c r="I119" s="955"/>
      <c r="J119" s="955"/>
      <c r="K119" s="955"/>
    </row>
    <row r="120" spans="3:11" x14ac:dyDescent="0.25">
      <c r="C120" s="955"/>
      <c r="D120" s="955"/>
      <c r="E120" s="955"/>
      <c r="F120" s="955"/>
      <c r="G120" s="955"/>
      <c r="H120" s="955"/>
      <c r="I120" s="955"/>
      <c r="J120" s="955"/>
      <c r="K120" s="955"/>
    </row>
    <row r="121" spans="3:11" x14ac:dyDescent="0.25">
      <c r="C121" s="955"/>
      <c r="D121" s="955"/>
      <c r="E121" s="955"/>
      <c r="F121" s="955"/>
      <c r="G121" s="955"/>
      <c r="H121" s="955"/>
      <c r="I121" s="955"/>
      <c r="J121" s="955"/>
      <c r="K121" s="955"/>
    </row>
    <row r="122" spans="3:11" x14ac:dyDescent="0.25">
      <c r="C122" s="955"/>
      <c r="D122" s="955"/>
      <c r="E122" s="955"/>
      <c r="F122" s="955"/>
      <c r="G122" s="955"/>
      <c r="H122" s="955"/>
      <c r="I122" s="955"/>
      <c r="J122" s="955"/>
      <c r="K122" s="955"/>
    </row>
    <row r="123" spans="3:11" x14ac:dyDescent="0.25">
      <c r="C123" s="955"/>
      <c r="D123" s="955"/>
      <c r="E123" s="955"/>
      <c r="F123" s="955"/>
      <c r="G123" s="955"/>
      <c r="H123" s="955"/>
      <c r="I123" s="955"/>
      <c r="J123" s="955"/>
      <c r="K123" s="955"/>
    </row>
    <row r="124" spans="3:11" x14ac:dyDescent="0.25">
      <c r="C124" s="955"/>
      <c r="D124" s="955"/>
      <c r="E124" s="955"/>
      <c r="F124" s="955"/>
      <c r="G124" s="955"/>
      <c r="H124" s="955"/>
      <c r="I124" s="955"/>
      <c r="J124" s="955"/>
      <c r="K124" s="955"/>
    </row>
    <row r="125" spans="3:11" x14ac:dyDescent="0.25">
      <c r="C125" s="955"/>
      <c r="D125" s="955"/>
      <c r="E125" s="955"/>
      <c r="F125" s="955"/>
      <c r="G125" s="955"/>
      <c r="H125" s="955"/>
      <c r="I125" s="955"/>
      <c r="J125" s="955"/>
      <c r="K125" s="955"/>
    </row>
    <row r="126" spans="3:11" x14ac:dyDescent="0.25">
      <c r="C126" s="955"/>
      <c r="D126" s="955"/>
      <c r="E126" s="955"/>
      <c r="F126" s="955"/>
      <c r="G126" s="955"/>
      <c r="H126" s="955"/>
      <c r="I126" s="955"/>
      <c r="J126" s="955"/>
      <c r="K126" s="955"/>
    </row>
    <row r="127" spans="3:11" x14ac:dyDescent="0.25">
      <c r="C127" s="955"/>
      <c r="D127" s="955"/>
      <c r="E127" s="955"/>
      <c r="F127" s="955"/>
      <c r="G127" s="955"/>
      <c r="H127" s="955"/>
      <c r="I127" s="955"/>
      <c r="J127" s="955"/>
      <c r="K127" s="955"/>
    </row>
    <row r="128" spans="3:11" x14ac:dyDescent="0.25">
      <c r="C128" s="955"/>
      <c r="D128" s="955"/>
      <c r="E128" s="955"/>
      <c r="F128" s="955"/>
      <c r="G128" s="955"/>
      <c r="H128" s="955"/>
      <c r="I128" s="955"/>
      <c r="J128" s="955"/>
      <c r="K128" s="955"/>
    </row>
    <row r="129" spans="3:11" x14ac:dyDescent="0.25">
      <c r="C129" s="955"/>
      <c r="D129" s="955"/>
      <c r="E129" s="955"/>
      <c r="F129" s="955"/>
      <c r="G129" s="955"/>
      <c r="H129" s="955"/>
      <c r="I129" s="955"/>
      <c r="J129" s="955"/>
      <c r="K129" s="955"/>
    </row>
    <row r="130" spans="3:11" x14ac:dyDescent="0.25">
      <c r="C130" s="955"/>
      <c r="D130" s="955"/>
      <c r="E130" s="955"/>
      <c r="F130" s="955"/>
      <c r="G130" s="955"/>
      <c r="H130" s="955"/>
      <c r="I130" s="955"/>
      <c r="J130" s="955"/>
      <c r="K130" s="955"/>
    </row>
    <row r="131" spans="3:11" x14ac:dyDescent="0.25">
      <c r="C131" s="955"/>
      <c r="D131" s="955"/>
      <c r="E131" s="955"/>
      <c r="F131" s="955"/>
      <c r="G131" s="955"/>
      <c r="H131" s="955"/>
      <c r="I131" s="955"/>
      <c r="J131" s="955"/>
      <c r="K131" s="955"/>
    </row>
    <row r="132" spans="3:11" x14ac:dyDescent="0.25">
      <c r="C132" s="955"/>
      <c r="D132" s="955"/>
      <c r="E132" s="955"/>
      <c r="F132" s="955"/>
      <c r="G132" s="955"/>
      <c r="H132" s="955"/>
      <c r="I132" s="955"/>
      <c r="J132" s="955"/>
      <c r="K132" s="955"/>
    </row>
    <row r="133" spans="3:11" x14ac:dyDescent="0.25">
      <c r="C133" s="955"/>
      <c r="D133" s="955"/>
      <c r="E133" s="955"/>
      <c r="F133" s="955"/>
      <c r="G133" s="955"/>
      <c r="H133" s="955"/>
      <c r="I133" s="955"/>
      <c r="J133" s="955"/>
      <c r="K133" s="955"/>
    </row>
    <row r="134" spans="3:11" x14ac:dyDescent="0.25">
      <c r="C134" s="955"/>
      <c r="D134" s="955"/>
      <c r="E134" s="955"/>
      <c r="F134" s="955"/>
      <c r="G134" s="955"/>
      <c r="H134" s="955"/>
      <c r="I134" s="955"/>
      <c r="J134" s="955"/>
      <c r="K134" s="955"/>
    </row>
    <row r="135" spans="3:11" x14ac:dyDescent="0.25">
      <c r="C135" s="955"/>
      <c r="D135" s="955"/>
      <c r="E135" s="955"/>
      <c r="F135" s="955"/>
      <c r="G135" s="955"/>
      <c r="H135" s="955"/>
      <c r="I135" s="955"/>
      <c r="J135" s="955"/>
      <c r="K135" s="955"/>
    </row>
    <row r="136" spans="3:11" x14ac:dyDescent="0.25">
      <c r="C136" s="955"/>
      <c r="D136" s="955"/>
      <c r="E136" s="955"/>
      <c r="F136" s="955"/>
      <c r="G136" s="955"/>
      <c r="H136" s="955"/>
      <c r="I136" s="955"/>
      <c r="J136" s="955"/>
      <c r="K136" s="955"/>
    </row>
    <row r="137" spans="3:11" x14ac:dyDescent="0.25">
      <c r="C137" s="955"/>
      <c r="D137" s="955"/>
      <c r="E137" s="955"/>
      <c r="F137" s="955"/>
      <c r="G137" s="955"/>
      <c r="H137" s="955"/>
      <c r="I137" s="955"/>
      <c r="J137" s="955"/>
      <c r="K137" s="955"/>
    </row>
    <row r="138" spans="3:11" x14ac:dyDescent="0.25">
      <c r="C138" s="955"/>
      <c r="D138" s="955"/>
      <c r="E138" s="955"/>
      <c r="F138" s="955"/>
      <c r="G138" s="955"/>
      <c r="H138" s="955"/>
      <c r="I138" s="955"/>
      <c r="J138" s="955"/>
      <c r="K138" s="955"/>
    </row>
    <row r="139" spans="3:11" x14ac:dyDescent="0.25">
      <c r="C139" s="955"/>
      <c r="D139" s="955"/>
      <c r="E139" s="955"/>
      <c r="F139" s="955"/>
      <c r="G139" s="955"/>
      <c r="H139" s="955"/>
      <c r="I139" s="955"/>
      <c r="J139" s="955"/>
      <c r="K139" s="955"/>
    </row>
    <row r="140" spans="3:11" x14ac:dyDescent="0.25">
      <c r="C140" s="955"/>
      <c r="D140" s="955"/>
      <c r="E140" s="955"/>
      <c r="F140" s="955"/>
      <c r="G140" s="955"/>
      <c r="H140" s="955"/>
      <c r="I140" s="955"/>
      <c r="J140" s="955"/>
      <c r="K140" s="955"/>
    </row>
    <row r="141" spans="3:11" x14ac:dyDescent="0.25">
      <c r="C141" s="955"/>
      <c r="D141" s="955"/>
      <c r="E141" s="955"/>
      <c r="F141" s="955"/>
      <c r="G141" s="955"/>
      <c r="H141" s="955"/>
      <c r="I141" s="955"/>
      <c r="J141" s="955"/>
      <c r="K141" s="955"/>
    </row>
    <row r="142" spans="3:11" x14ac:dyDescent="0.25">
      <c r="C142" s="955"/>
      <c r="D142" s="955"/>
      <c r="E142" s="955"/>
      <c r="F142" s="955"/>
      <c r="G142" s="955"/>
      <c r="H142" s="955"/>
      <c r="I142" s="955"/>
      <c r="J142" s="955"/>
      <c r="K142" s="955"/>
    </row>
    <row r="143" spans="3:11" x14ac:dyDescent="0.25">
      <c r="C143" s="955"/>
      <c r="D143" s="955"/>
      <c r="E143" s="955"/>
      <c r="F143" s="955"/>
      <c r="G143" s="955"/>
      <c r="H143" s="955"/>
      <c r="I143" s="955"/>
      <c r="J143" s="955"/>
      <c r="K143" s="955"/>
    </row>
    <row r="144" spans="3:11" x14ac:dyDescent="0.25">
      <c r="C144" s="955"/>
      <c r="D144" s="955"/>
      <c r="E144" s="955"/>
      <c r="F144" s="955"/>
      <c r="G144" s="955"/>
      <c r="H144" s="955"/>
      <c r="I144" s="955"/>
      <c r="J144" s="955"/>
      <c r="K144" s="955"/>
    </row>
    <row r="145" spans="3:11" x14ac:dyDescent="0.25">
      <c r="C145" s="955"/>
      <c r="D145" s="955"/>
      <c r="E145" s="955"/>
      <c r="F145" s="955"/>
      <c r="G145" s="955"/>
      <c r="H145" s="955"/>
      <c r="I145" s="955"/>
      <c r="J145" s="955"/>
      <c r="K145" s="955"/>
    </row>
    <row r="146" spans="3:11" x14ac:dyDescent="0.25">
      <c r="C146" s="955"/>
      <c r="D146" s="955"/>
      <c r="E146" s="955"/>
      <c r="F146" s="955"/>
      <c r="G146" s="955"/>
      <c r="H146" s="955"/>
      <c r="I146" s="955"/>
      <c r="J146" s="955"/>
      <c r="K146" s="955"/>
    </row>
    <row r="147" spans="3:11" x14ac:dyDescent="0.25">
      <c r="C147" s="955"/>
      <c r="D147" s="955"/>
      <c r="E147" s="955"/>
      <c r="F147" s="955"/>
      <c r="G147" s="955"/>
      <c r="H147" s="955"/>
      <c r="I147" s="955"/>
      <c r="J147" s="955"/>
      <c r="K147" s="955"/>
    </row>
    <row r="148" spans="3:11" x14ac:dyDescent="0.25">
      <c r="C148" s="955"/>
      <c r="D148" s="955"/>
      <c r="E148" s="955"/>
      <c r="F148" s="955"/>
      <c r="G148" s="955"/>
      <c r="H148" s="955"/>
      <c r="I148" s="955"/>
      <c r="J148" s="955"/>
      <c r="K148" s="955"/>
    </row>
    <row r="149" spans="3:11" x14ac:dyDescent="0.25">
      <c r="C149" s="955"/>
      <c r="D149" s="955"/>
      <c r="E149" s="955"/>
      <c r="F149" s="955"/>
      <c r="G149" s="955"/>
      <c r="H149" s="955"/>
      <c r="I149" s="955"/>
      <c r="J149" s="955"/>
      <c r="K149" s="955"/>
    </row>
    <row r="150" spans="3:11" x14ac:dyDescent="0.25">
      <c r="C150" s="955"/>
      <c r="D150" s="955"/>
      <c r="E150" s="955"/>
      <c r="F150" s="955"/>
      <c r="G150" s="955"/>
      <c r="H150" s="955"/>
      <c r="I150" s="955"/>
      <c r="J150" s="955"/>
      <c r="K150" s="955"/>
    </row>
    <row r="151" spans="3:11" x14ac:dyDescent="0.25">
      <c r="C151" s="955"/>
      <c r="D151" s="955"/>
      <c r="E151" s="955"/>
      <c r="F151" s="955"/>
      <c r="G151" s="955"/>
      <c r="H151" s="955"/>
      <c r="I151" s="955"/>
      <c r="J151" s="955"/>
      <c r="K151" s="955"/>
    </row>
    <row r="152" spans="3:11" x14ac:dyDescent="0.25">
      <c r="C152" s="955"/>
      <c r="D152" s="955"/>
      <c r="E152" s="955"/>
      <c r="F152" s="955"/>
      <c r="G152" s="955"/>
      <c r="H152" s="955"/>
      <c r="I152" s="955"/>
      <c r="J152" s="955"/>
      <c r="K152" s="955"/>
    </row>
    <row r="153" spans="3:11" x14ac:dyDescent="0.25">
      <c r="C153" s="955"/>
      <c r="D153" s="955"/>
      <c r="E153" s="955"/>
      <c r="F153" s="955"/>
      <c r="G153" s="955"/>
      <c r="H153" s="955"/>
      <c r="I153" s="955"/>
      <c r="J153" s="955"/>
      <c r="K153" s="955"/>
    </row>
    <row r="154" spans="3:11" x14ac:dyDescent="0.25">
      <c r="C154" s="955"/>
      <c r="D154" s="955"/>
      <c r="E154" s="955"/>
      <c r="F154" s="955"/>
      <c r="G154" s="955"/>
      <c r="H154" s="955"/>
      <c r="I154" s="955"/>
      <c r="J154" s="955"/>
      <c r="K154" s="955"/>
    </row>
    <row r="155" spans="3:11" x14ac:dyDescent="0.25">
      <c r="C155" s="955"/>
      <c r="D155" s="955"/>
      <c r="E155" s="955"/>
      <c r="F155" s="955"/>
      <c r="G155" s="955"/>
      <c r="H155" s="955"/>
      <c r="I155" s="955"/>
      <c r="J155" s="955"/>
      <c r="K155" s="955"/>
    </row>
    <row r="156" spans="3:11" x14ac:dyDescent="0.25">
      <c r="C156" s="955"/>
      <c r="D156" s="955"/>
      <c r="E156" s="955"/>
      <c r="F156" s="955"/>
      <c r="G156" s="955"/>
      <c r="H156" s="955"/>
      <c r="I156" s="955"/>
      <c r="J156" s="955"/>
      <c r="K156" s="955"/>
    </row>
    <row r="157" spans="3:11" x14ac:dyDescent="0.25">
      <c r="C157" s="955"/>
      <c r="D157" s="955"/>
      <c r="E157" s="955"/>
      <c r="F157" s="955"/>
      <c r="G157" s="955"/>
      <c r="H157" s="955"/>
      <c r="I157" s="955"/>
      <c r="J157" s="955"/>
      <c r="K157" s="955"/>
    </row>
    <row r="158" spans="3:11" x14ac:dyDescent="0.25">
      <c r="C158" s="955"/>
      <c r="D158" s="955"/>
      <c r="E158" s="955"/>
      <c r="F158" s="955"/>
      <c r="G158" s="955"/>
      <c r="H158" s="955"/>
      <c r="I158" s="955"/>
      <c r="J158" s="955"/>
      <c r="K158" s="955"/>
    </row>
    <row r="159" spans="3:11" x14ac:dyDescent="0.25">
      <c r="C159" s="955"/>
      <c r="D159" s="955"/>
      <c r="E159" s="955"/>
      <c r="F159" s="955"/>
      <c r="G159" s="955"/>
      <c r="H159" s="955"/>
      <c r="I159" s="955"/>
      <c r="J159" s="955"/>
      <c r="K159" s="955"/>
    </row>
    <row r="160" spans="3:11" x14ac:dyDescent="0.25">
      <c r="C160" s="955"/>
      <c r="D160" s="955"/>
      <c r="E160" s="955"/>
      <c r="F160" s="955"/>
      <c r="G160" s="955"/>
      <c r="H160" s="955"/>
      <c r="I160" s="955"/>
      <c r="J160" s="955"/>
      <c r="K160" s="955"/>
    </row>
    <row r="161" spans="3:11" x14ac:dyDescent="0.25">
      <c r="C161" s="955"/>
      <c r="D161" s="955"/>
      <c r="E161" s="955"/>
      <c r="F161" s="955"/>
      <c r="G161" s="955"/>
      <c r="H161" s="955"/>
      <c r="I161" s="955"/>
      <c r="J161" s="955"/>
      <c r="K161" s="955"/>
    </row>
    <row r="162" spans="3:11" x14ac:dyDescent="0.25">
      <c r="C162" s="955"/>
      <c r="D162" s="955"/>
      <c r="E162" s="955"/>
      <c r="F162" s="955"/>
      <c r="G162" s="955"/>
      <c r="H162" s="955"/>
      <c r="I162" s="955"/>
      <c r="J162" s="955"/>
      <c r="K162" s="955"/>
    </row>
    <row r="163" spans="3:11" x14ac:dyDescent="0.25">
      <c r="C163" s="955"/>
      <c r="D163" s="955"/>
      <c r="E163" s="955"/>
      <c r="F163" s="955"/>
      <c r="G163" s="955"/>
      <c r="H163" s="955"/>
      <c r="I163" s="955"/>
      <c r="J163" s="955"/>
      <c r="K163" s="955"/>
    </row>
    <row r="164" spans="3:11" x14ac:dyDescent="0.25">
      <c r="C164" s="955"/>
      <c r="D164" s="955"/>
      <c r="E164" s="955"/>
      <c r="F164" s="955"/>
      <c r="G164" s="955"/>
      <c r="H164" s="955"/>
      <c r="I164" s="955"/>
      <c r="J164" s="955"/>
      <c r="K164" s="955"/>
    </row>
    <row r="165" spans="3:11" x14ac:dyDescent="0.25">
      <c r="C165" s="955"/>
      <c r="D165" s="955"/>
      <c r="E165" s="955"/>
      <c r="F165" s="955"/>
      <c r="G165" s="955"/>
      <c r="H165" s="955"/>
      <c r="I165" s="955"/>
      <c r="J165" s="955"/>
      <c r="K165" s="955"/>
    </row>
    <row r="166" spans="3:11" x14ac:dyDescent="0.25">
      <c r="C166" s="955"/>
      <c r="D166" s="955"/>
      <c r="E166" s="955"/>
      <c r="F166" s="955"/>
      <c r="G166" s="955"/>
      <c r="H166" s="955"/>
      <c r="I166" s="955"/>
      <c r="J166" s="955"/>
      <c r="K166" s="955"/>
    </row>
    <row r="167" spans="3:11" x14ac:dyDescent="0.25">
      <c r="C167" s="955"/>
      <c r="D167" s="955"/>
      <c r="E167" s="955"/>
      <c r="F167" s="955"/>
      <c r="G167" s="955"/>
      <c r="H167" s="955"/>
      <c r="I167" s="955"/>
      <c r="J167" s="955"/>
      <c r="K167" s="955"/>
    </row>
    <row r="168" spans="3:11" x14ac:dyDescent="0.25">
      <c r="C168" s="955"/>
      <c r="D168" s="955"/>
      <c r="E168" s="955"/>
      <c r="F168" s="955"/>
      <c r="G168" s="955"/>
      <c r="H168" s="955"/>
      <c r="I168" s="955"/>
      <c r="J168" s="955"/>
      <c r="K168" s="955"/>
    </row>
    <row r="169" spans="3:11" x14ac:dyDescent="0.25">
      <c r="C169" s="955"/>
      <c r="D169" s="955"/>
      <c r="E169" s="955"/>
      <c r="F169" s="955"/>
      <c r="G169" s="955"/>
      <c r="H169" s="955"/>
      <c r="I169" s="955"/>
      <c r="J169" s="955"/>
      <c r="K169" s="955"/>
    </row>
    <row r="170" spans="3:11" x14ac:dyDescent="0.25">
      <c r="C170" s="955"/>
      <c r="D170" s="955"/>
      <c r="E170" s="955"/>
      <c r="F170" s="955"/>
      <c r="G170" s="955"/>
      <c r="H170" s="955"/>
      <c r="I170" s="955"/>
      <c r="J170" s="955"/>
      <c r="K170" s="955"/>
    </row>
    <row r="171" spans="3:11" x14ac:dyDescent="0.25">
      <c r="C171" s="955"/>
      <c r="D171" s="955"/>
      <c r="E171" s="955"/>
      <c r="F171" s="955"/>
      <c r="G171" s="955"/>
      <c r="H171" s="955"/>
      <c r="I171" s="955"/>
      <c r="J171" s="955"/>
      <c r="K171" s="955"/>
    </row>
    <row r="172" spans="3:11" x14ac:dyDescent="0.25">
      <c r="C172" s="955"/>
      <c r="D172" s="955"/>
      <c r="E172" s="955"/>
      <c r="F172" s="955"/>
      <c r="G172" s="955"/>
      <c r="H172" s="955"/>
      <c r="I172" s="955"/>
      <c r="J172" s="955"/>
      <c r="K172" s="955"/>
    </row>
    <row r="173" spans="3:11" x14ac:dyDescent="0.25">
      <c r="C173" s="955"/>
      <c r="D173" s="955"/>
      <c r="E173" s="955"/>
      <c r="F173" s="955"/>
      <c r="G173" s="955"/>
      <c r="H173" s="955"/>
      <c r="I173" s="955"/>
      <c r="J173" s="955"/>
      <c r="K173" s="955"/>
    </row>
    <row r="174" spans="3:11" x14ac:dyDescent="0.25">
      <c r="C174" s="955"/>
      <c r="D174" s="955"/>
      <c r="E174" s="955"/>
      <c r="F174" s="955"/>
      <c r="G174" s="955"/>
      <c r="H174" s="955"/>
      <c r="I174" s="955"/>
      <c r="J174" s="955"/>
      <c r="K174" s="955"/>
    </row>
    <row r="175" spans="3:11" x14ac:dyDescent="0.25">
      <c r="C175" s="955"/>
      <c r="D175" s="955"/>
      <c r="E175" s="955"/>
      <c r="F175" s="955"/>
      <c r="G175" s="955"/>
      <c r="H175" s="955"/>
      <c r="I175" s="955"/>
      <c r="J175" s="955"/>
      <c r="K175" s="955"/>
    </row>
    <row r="176" spans="3:11" x14ac:dyDescent="0.25">
      <c r="C176" s="955"/>
      <c r="D176" s="955"/>
      <c r="E176" s="955"/>
      <c r="F176" s="955"/>
      <c r="G176" s="955"/>
      <c r="H176" s="955"/>
      <c r="I176" s="955"/>
      <c r="J176" s="955"/>
      <c r="K176" s="955"/>
    </row>
    <row r="177" spans="3:11" x14ac:dyDescent="0.25">
      <c r="C177" s="955"/>
      <c r="D177" s="955"/>
      <c r="E177" s="955"/>
      <c r="F177" s="955"/>
      <c r="G177" s="955"/>
      <c r="H177" s="955"/>
      <c r="I177" s="955"/>
      <c r="J177" s="955"/>
      <c r="K177" s="955"/>
    </row>
    <row r="178" spans="3:11" x14ac:dyDescent="0.25">
      <c r="C178" s="955"/>
      <c r="D178" s="955"/>
      <c r="E178" s="955"/>
      <c r="F178" s="955"/>
      <c r="G178" s="955"/>
      <c r="H178" s="955"/>
      <c r="I178" s="955"/>
      <c r="J178" s="955"/>
      <c r="K178" s="955"/>
    </row>
    <row r="179" spans="3:11" x14ac:dyDescent="0.25">
      <c r="C179" s="955"/>
      <c r="D179" s="955"/>
      <c r="E179" s="955"/>
      <c r="F179" s="955"/>
      <c r="G179" s="955"/>
      <c r="H179" s="955"/>
      <c r="I179" s="955"/>
      <c r="J179" s="955"/>
      <c r="K179" s="955"/>
    </row>
    <row r="180" spans="3:11" x14ac:dyDescent="0.25">
      <c r="C180" s="955"/>
      <c r="D180" s="955"/>
      <c r="E180" s="955"/>
      <c r="F180" s="955"/>
      <c r="G180" s="955"/>
      <c r="H180" s="955"/>
      <c r="I180" s="955"/>
      <c r="J180" s="955"/>
      <c r="K180" s="955"/>
    </row>
    <row r="181" spans="3:11" x14ac:dyDescent="0.25">
      <c r="C181" s="955"/>
      <c r="D181" s="955"/>
      <c r="E181" s="955"/>
      <c r="F181" s="955"/>
      <c r="G181" s="955"/>
      <c r="H181" s="955"/>
      <c r="I181" s="955"/>
      <c r="J181" s="955"/>
      <c r="K181" s="955"/>
    </row>
    <row r="182" spans="3:11" x14ac:dyDescent="0.25">
      <c r="C182" s="955"/>
      <c r="D182" s="955"/>
      <c r="E182" s="955"/>
      <c r="F182" s="955"/>
      <c r="G182" s="955"/>
      <c r="H182" s="955"/>
      <c r="I182" s="955"/>
      <c r="J182" s="955"/>
      <c r="K182" s="955"/>
    </row>
    <row r="183" spans="3:11" x14ac:dyDescent="0.25">
      <c r="C183" s="955"/>
      <c r="D183" s="955"/>
      <c r="E183" s="955"/>
      <c r="F183" s="955"/>
      <c r="G183" s="955"/>
      <c r="H183" s="955"/>
      <c r="I183" s="955"/>
      <c r="J183" s="955"/>
      <c r="K183" s="955"/>
    </row>
    <row r="184" spans="3:11" x14ac:dyDescent="0.25">
      <c r="C184" s="955"/>
      <c r="D184" s="955"/>
      <c r="E184" s="955"/>
      <c r="F184" s="955"/>
      <c r="G184" s="955"/>
      <c r="H184" s="955"/>
      <c r="I184" s="955"/>
      <c r="J184" s="955"/>
      <c r="K184" s="955"/>
    </row>
    <row r="185" spans="3:11" x14ac:dyDescent="0.25">
      <c r="C185" s="955"/>
      <c r="D185" s="955"/>
      <c r="E185" s="955"/>
      <c r="F185" s="955"/>
      <c r="G185" s="955"/>
      <c r="H185" s="955"/>
      <c r="I185" s="955"/>
      <c r="J185" s="955"/>
      <c r="K185" s="955"/>
    </row>
    <row r="186" spans="3:11" x14ac:dyDescent="0.25">
      <c r="C186" s="955"/>
      <c r="D186" s="955"/>
      <c r="E186" s="955"/>
      <c r="F186" s="955"/>
      <c r="G186" s="955"/>
      <c r="H186" s="955"/>
      <c r="I186" s="955"/>
      <c r="J186" s="955"/>
      <c r="K186" s="955"/>
    </row>
    <row r="187" spans="3:11" x14ac:dyDescent="0.25">
      <c r="C187" s="955"/>
      <c r="D187" s="955"/>
      <c r="E187" s="955"/>
      <c r="F187" s="955"/>
      <c r="G187" s="955"/>
      <c r="H187" s="955"/>
      <c r="I187" s="955"/>
      <c r="J187" s="955"/>
      <c r="K187" s="955"/>
    </row>
    <row r="188" spans="3:11" x14ac:dyDescent="0.25">
      <c r="C188" s="955"/>
      <c r="D188" s="955"/>
      <c r="E188" s="955"/>
      <c r="F188" s="955"/>
      <c r="G188" s="955"/>
      <c r="H188" s="955"/>
      <c r="I188" s="955"/>
      <c r="J188" s="955"/>
      <c r="K188" s="955"/>
    </row>
    <row r="189" spans="3:11" x14ac:dyDescent="0.25">
      <c r="C189" s="955"/>
      <c r="D189" s="955"/>
      <c r="E189" s="955"/>
      <c r="F189" s="955"/>
      <c r="G189" s="955"/>
      <c r="H189" s="955"/>
      <c r="I189" s="955"/>
      <c r="J189" s="955"/>
      <c r="K189" s="955"/>
    </row>
    <row r="190" spans="3:11" x14ac:dyDescent="0.25">
      <c r="C190" s="955"/>
      <c r="D190" s="955"/>
      <c r="E190" s="955"/>
      <c r="F190" s="955"/>
      <c r="G190" s="955"/>
      <c r="H190" s="955"/>
      <c r="I190" s="955"/>
      <c r="J190" s="955"/>
      <c r="K190" s="955"/>
    </row>
    <row r="191" spans="3:11" x14ac:dyDescent="0.25">
      <c r="C191" s="955"/>
      <c r="D191" s="955"/>
      <c r="E191" s="955"/>
      <c r="F191" s="955"/>
      <c r="G191" s="955"/>
      <c r="H191" s="955"/>
      <c r="I191" s="955"/>
      <c r="J191" s="955"/>
      <c r="K191" s="955"/>
    </row>
    <row r="192" spans="3:11" x14ac:dyDescent="0.25">
      <c r="C192" s="955"/>
      <c r="D192" s="955"/>
      <c r="E192" s="955"/>
      <c r="F192" s="955"/>
      <c r="G192" s="955"/>
      <c r="H192" s="955"/>
      <c r="I192" s="955"/>
      <c r="J192" s="955"/>
      <c r="K192" s="955"/>
    </row>
    <row r="193" spans="3:11" x14ac:dyDescent="0.25">
      <c r="C193" s="955"/>
      <c r="D193" s="955"/>
      <c r="E193" s="955"/>
      <c r="F193" s="955"/>
      <c r="G193" s="955"/>
      <c r="H193" s="955"/>
      <c r="I193" s="955"/>
      <c r="J193" s="955"/>
      <c r="K193" s="955"/>
    </row>
    <row r="194" spans="3:11" x14ac:dyDescent="0.25">
      <c r="C194" s="955"/>
      <c r="D194" s="955"/>
      <c r="E194" s="955"/>
      <c r="F194" s="955"/>
      <c r="G194" s="955"/>
      <c r="H194" s="955"/>
      <c r="I194" s="955"/>
      <c r="J194" s="955"/>
      <c r="K194" s="955"/>
    </row>
    <row r="195" spans="3:11" x14ac:dyDescent="0.25">
      <c r="C195" s="955"/>
      <c r="D195" s="955"/>
      <c r="E195" s="955"/>
      <c r="F195" s="955"/>
      <c r="G195" s="955"/>
      <c r="H195" s="955"/>
      <c r="I195" s="955"/>
      <c r="J195" s="955"/>
      <c r="K195" s="955"/>
    </row>
    <row r="196" spans="3:11" x14ac:dyDescent="0.25">
      <c r="C196" s="955"/>
      <c r="D196" s="955"/>
      <c r="E196" s="955"/>
      <c r="F196" s="955"/>
      <c r="G196" s="955"/>
      <c r="H196" s="955"/>
      <c r="I196" s="955"/>
      <c r="J196" s="955"/>
      <c r="K196" s="955"/>
    </row>
    <row r="197" spans="3:11" x14ac:dyDescent="0.25">
      <c r="C197" s="955"/>
      <c r="D197" s="955"/>
      <c r="E197" s="955"/>
      <c r="F197" s="955"/>
      <c r="G197" s="955"/>
      <c r="H197" s="955"/>
      <c r="I197" s="955"/>
      <c r="J197" s="955"/>
      <c r="K197" s="955"/>
    </row>
    <row r="198" spans="3:11" x14ac:dyDescent="0.25">
      <c r="C198" s="955"/>
      <c r="D198" s="955"/>
      <c r="E198" s="955"/>
      <c r="F198" s="955"/>
      <c r="G198" s="955"/>
      <c r="H198" s="955"/>
      <c r="I198" s="955"/>
      <c r="J198" s="955"/>
      <c r="K198" s="955"/>
    </row>
    <row r="199" spans="3:11" x14ac:dyDescent="0.25">
      <c r="C199" s="955"/>
      <c r="D199" s="955"/>
      <c r="E199" s="955"/>
      <c r="F199" s="955"/>
      <c r="G199" s="955"/>
      <c r="H199" s="955"/>
      <c r="I199" s="955"/>
      <c r="J199" s="955"/>
      <c r="K199" s="955"/>
    </row>
    <row r="200" spans="3:11" x14ac:dyDescent="0.25">
      <c r="C200" s="955"/>
      <c r="D200" s="955"/>
      <c r="E200" s="955"/>
      <c r="F200" s="955"/>
      <c r="G200" s="955"/>
      <c r="H200" s="955"/>
      <c r="I200" s="955"/>
      <c r="J200" s="955"/>
      <c r="K200" s="955"/>
    </row>
    <row r="201" spans="3:11" x14ac:dyDescent="0.25">
      <c r="C201" s="955"/>
      <c r="D201" s="955"/>
      <c r="E201" s="955"/>
      <c r="F201" s="955"/>
      <c r="G201" s="955"/>
      <c r="H201" s="955"/>
      <c r="I201" s="955"/>
      <c r="J201" s="955"/>
      <c r="K201" s="955"/>
    </row>
    <row r="202" spans="3:11" x14ac:dyDescent="0.25">
      <c r="C202" s="955"/>
      <c r="D202" s="955"/>
      <c r="E202" s="955"/>
      <c r="F202" s="955"/>
      <c r="G202" s="955"/>
      <c r="H202" s="955"/>
      <c r="I202" s="955"/>
      <c r="J202" s="955"/>
      <c r="K202" s="955"/>
    </row>
    <row r="203" spans="3:11" x14ac:dyDescent="0.25">
      <c r="C203" s="955"/>
      <c r="D203" s="955"/>
      <c r="E203" s="955"/>
      <c r="F203" s="955"/>
      <c r="G203" s="955"/>
      <c r="H203" s="955"/>
      <c r="I203" s="955"/>
      <c r="J203" s="955"/>
      <c r="K203" s="955"/>
    </row>
    <row r="204" spans="3:11" x14ac:dyDescent="0.25">
      <c r="C204" s="955"/>
      <c r="D204" s="955"/>
      <c r="E204" s="955"/>
      <c r="F204" s="955"/>
      <c r="G204" s="955"/>
      <c r="H204" s="955"/>
      <c r="I204" s="955"/>
      <c r="J204" s="955"/>
      <c r="K204" s="955"/>
    </row>
    <row r="205" spans="3:11" x14ac:dyDescent="0.25">
      <c r="C205" s="955"/>
      <c r="D205" s="955"/>
      <c r="E205" s="955"/>
      <c r="F205" s="955"/>
      <c r="G205" s="955"/>
      <c r="H205" s="955"/>
      <c r="I205" s="955"/>
      <c r="J205" s="955"/>
      <c r="K205" s="955"/>
    </row>
    <row r="206" spans="3:11" x14ac:dyDescent="0.25">
      <c r="C206" s="955"/>
      <c r="D206" s="955"/>
      <c r="E206" s="955"/>
      <c r="F206" s="955"/>
      <c r="G206" s="955"/>
      <c r="H206" s="955"/>
      <c r="I206" s="955"/>
      <c r="J206" s="955"/>
      <c r="K206" s="955"/>
    </row>
    <row r="207" spans="3:11" x14ac:dyDescent="0.25">
      <c r="C207" s="955"/>
      <c r="D207" s="955"/>
      <c r="E207" s="955"/>
      <c r="F207" s="955"/>
      <c r="G207" s="955"/>
      <c r="H207" s="955"/>
      <c r="I207" s="955"/>
      <c r="J207" s="955"/>
      <c r="K207" s="955"/>
    </row>
    <row r="208" spans="3:11" x14ac:dyDescent="0.25">
      <c r="C208" s="955"/>
      <c r="D208" s="955"/>
      <c r="E208" s="955"/>
      <c r="F208" s="955"/>
      <c r="G208" s="955"/>
      <c r="H208" s="955"/>
      <c r="I208" s="955"/>
      <c r="J208" s="955"/>
      <c r="K208" s="955"/>
    </row>
    <row r="209" spans="3:11" x14ac:dyDescent="0.25">
      <c r="C209" s="955"/>
      <c r="D209" s="955"/>
      <c r="E209" s="955"/>
      <c r="F209" s="955"/>
      <c r="G209" s="955"/>
      <c r="H209" s="955"/>
      <c r="I209" s="955"/>
      <c r="J209" s="955"/>
      <c r="K209" s="955"/>
    </row>
    <row r="210" spans="3:11" x14ac:dyDescent="0.25">
      <c r="C210" s="955"/>
      <c r="D210" s="955"/>
      <c r="E210" s="955"/>
      <c r="F210" s="955"/>
      <c r="G210" s="955"/>
      <c r="H210" s="955"/>
      <c r="I210" s="955"/>
      <c r="J210" s="955"/>
      <c r="K210" s="955"/>
    </row>
    <row r="211" spans="3:11" x14ac:dyDescent="0.25">
      <c r="C211" s="955"/>
      <c r="D211" s="955"/>
      <c r="E211" s="955"/>
      <c r="F211" s="955"/>
      <c r="G211" s="955"/>
      <c r="H211" s="955"/>
      <c r="I211" s="955"/>
      <c r="J211" s="955"/>
      <c r="K211" s="955"/>
    </row>
    <row r="212" spans="3:11" x14ac:dyDescent="0.25">
      <c r="C212" s="955"/>
      <c r="D212" s="955"/>
      <c r="E212" s="955"/>
      <c r="F212" s="955"/>
      <c r="G212" s="955"/>
      <c r="H212" s="955"/>
      <c r="I212" s="955"/>
      <c r="J212" s="955"/>
      <c r="K212" s="955"/>
    </row>
    <row r="213" spans="3:11" x14ac:dyDescent="0.25">
      <c r="C213" s="955"/>
      <c r="D213" s="955"/>
      <c r="E213" s="955"/>
      <c r="F213" s="955"/>
      <c r="G213" s="955"/>
      <c r="H213" s="955"/>
      <c r="I213" s="955"/>
      <c r="J213" s="955"/>
      <c r="K213" s="955"/>
    </row>
    <row r="214" spans="3:11" x14ac:dyDescent="0.25">
      <c r="C214" s="955"/>
      <c r="D214" s="955"/>
      <c r="E214" s="955"/>
      <c r="F214" s="955"/>
      <c r="G214" s="955"/>
      <c r="H214" s="955"/>
      <c r="I214" s="955"/>
      <c r="J214" s="955"/>
      <c r="K214" s="955"/>
    </row>
    <row r="215" spans="3:11" x14ac:dyDescent="0.25">
      <c r="C215" s="955"/>
      <c r="D215" s="955"/>
      <c r="E215" s="955"/>
      <c r="F215" s="955"/>
      <c r="G215" s="955"/>
      <c r="H215" s="955"/>
      <c r="I215" s="955"/>
      <c r="J215" s="955"/>
      <c r="K215" s="955"/>
    </row>
    <row r="216" spans="3:11" x14ac:dyDescent="0.25">
      <c r="C216" s="955"/>
      <c r="D216" s="955"/>
      <c r="E216" s="955"/>
      <c r="F216" s="955"/>
      <c r="G216" s="955"/>
      <c r="H216" s="955"/>
      <c r="I216" s="955"/>
      <c r="J216" s="955"/>
      <c r="K216" s="955"/>
    </row>
    <row r="217" spans="3:11" x14ac:dyDescent="0.25">
      <c r="C217" s="955"/>
      <c r="D217" s="955"/>
      <c r="E217" s="955"/>
      <c r="F217" s="955"/>
      <c r="G217" s="955"/>
      <c r="H217" s="955"/>
      <c r="I217" s="955"/>
      <c r="J217" s="955"/>
      <c r="K217" s="955"/>
    </row>
    <row r="218" spans="3:11" x14ac:dyDescent="0.25">
      <c r="C218" s="955"/>
      <c r="D218" s="955"/>
      <c r="E218" s="955"/>
      <c r="F218" s="955"/>
      <c r="G218" s="955"/>
      <c r="H218" s="955"/>
      <c r="I218" s="955"/>
      <c r="J218" s="955"/>
      <c r="K218" s="955"/>
    </row>
    <row r="219" spans="3:11" x14ac:dyDescent="0.25">
      <c r="C219" s="955"/>
      <c r="D219" s="955"/>
      <c r="E219" s="955"/>
      <c r="F219" s="955"/>
      <c r="G219" s="955"/>
      <c r="H219" s="955"/>
      <c r="I219" s="955"/>
      <c r="J219" s="955"/>
      <c r="K219" s="955"/>
    </row>
    <row r="220" spans="3:11" x14ac:dyDescent="0.25">
      <c r="C220" s="955"/>
      <c r="D220" s="955"/>
      <c r="E220" s="955"/>
      <c r="F220" s="955"/>
      <c r="G220" s="955"/>
      <c r="H220" s="955"/>
      <c r="I220" s="955"/>
      <c r="J220" s="955"/>
      <c r="K220" s="955"/>
    </row>
    <row r="221" spans="3:11" x14ac:dyDescent="0.25">
      <c r="C221" s="955"/>
      <c r="D221" s="955"/>
      <c r="E221" s="955"/>
      <c r="F221" s="955"/>
      <c r="G221" s="955"/>
      <c r="H221" s="955"/>
      <c r="I221" s="955"/>
      <c r="J221" s="955"/>
      <c r="K221" s="955"/>
    </row>
    <row r="222" spans="3:11" x14ac:dyDescent="0.25">
      <c r="C222" s="955"/>
      <c r="D222" s="955"/>
      <c r="E222" s="955"/>
      <c r="F222" s="955"/>
      <c r="G222" s="955"/>
      <c r="H222" s="955"/>
      <c r="I222" s="955"/>
      <c r="J222" s="955"/>
      <c r="K222" s="955"/>
    </row>
    <row r="223" spans="3:11" x14ac:dyDescent="0.25">
      <c r="C223" s="955"/>
      <c r="D223" s="955"/>
      <c r="E223" s="955"/>
      <c r="F223" s="955"/>
      <c r="G223" s="955"/>
      <c r="H223" s="955"/>
      <c r="I223" s="955"/>
      <c r="J223" s="955"/>
      <c r="K223" s="955"/>
    </row>
    <row r="224" spans="3:11" x14ac:dyDescent="0.25">
      <c r="C224" s="955"/>
      <c r="D224" s="955"/>
      <c r="E224" s="955"/>
      <c r="F224" s="955"/>
      <c r="G224" s="955"/>
      <c r="H224" s="955"/>
      <c r="I224" s="955"/>
      <c r="J224" s="955"/>
      <c r="K224" s="955"/>
    </row>
    <row r="225" spans="3:11" x14ac:dyDescent="0.25">
      <c r="C225" s="955"/>
      <c r="D225" s="955"/>
      <c r="E225" s="955"/>
      <c r="F225" s="955"/>
      <c r="G225" s="955"/>
      <c r="H225" s="955"/>
      <c r="I225" s="955"/>
      <c r="J225" s="955"/>
      <c r="K225" s="955"/>
    </row>
    <row r="226" spans="3:11" x14ac:dyDescent="0.25">
      <c r="C226" s="955"/>
      <c r="D226" s="955"/>
      <c r="E226" s="955"/>
      <c r="F226" s="955"/>
      <c r="G226" s="955"/>
      <c r="H226" s="955"/>
      <c r="I226" s="955"/>
      <c r="J226" s="955"/>
      <c r="K226" s="955"/>
    </row>
    <row r="227" spans="3:11" x14ac:dyDescent="0.25">
      <c r="C227" s="955"/>
      <c r="D227" s="955"/>
      <c r="E227" s="955"/>
      <c r="F227" s="955"/>
      <c r="G227" s="955"/>
      <c r="H227" s="955"/>
      <c r="I227" s="955"/>
      <c r="J227" s="955"/>
      <c r="K227" s="955"/>
    </row>
    <row r="228" spans="3:11" x14ac:dyDescent="0.25">
      <c r="C228" s="955"/>
      <c r="D228" s="955"/>
      <c r="E228" s="955"/>
      <c r="F228" s="955"/>
      <c r="G228" s="955"/>
      <c r="H228" s="955"/>
      <c r="I228" s="955"/>
      <c r="J228" s="955"/>
      <c r="K228" s="955"/>
    </row>
    <row r="229" spans="3:11" x14ac:dyDescent="0.25">
      <c r="C229" s="955"/>
      <c r="D229" s="955"/>
      <c r="E229" s="955"/>
      <c r="F229" s="955"/>
      <c r="G229" s="955"/>
      <c r="H229" s="955"/>
      <c r="I229" s="955"/>
      <c r="J229" s="955"/>
      <c r="K229" s="955"/>
    </row>
    <row r="230" spans="3:11" x14ac:dyDescent="0.25">
      <c r="C230" s="955"/>
      <c r="D230" s="955"/>
      <c r="E230" s="955"/>
      <c r="F230" s="955"/>
      <c r="G230" s="955"/>
      <c r="H230" s="955"/>
      <c r="I230" s="955"/>
      <c r="J230" s="955"/>
      <c r="K230" s="955"/>
    </row>
    <row r="231" spans="3:11" x14ac:dyDescent="0.25">
      <c r="C231" s="955"/>
      <c r="D231" s="955"/>
      <c r="E231" s="955"/>
      <c r="F231" s="955"/>
      <c r="G231" s="955"/>
      <c r="H231" s="955"/>
      <c r="I231" s="955"/>
      <c r="J231" s="955"/>
      <c r="K231" s="955"/>
    </row>
    <row r="232" spans="3:11" x14ac:dyDescent="0.25">
      <c r="C232" s="955"/>
      <c r="D232" s="955"/>
      <c r="E232" s="955"/>
      <c r="F232" s="955"/>
      <c r="G232" s="955"/>
      <c r="H232" s="955"/>
      <c r="I232" s="955"/>
      <c r="J232" s="955"/>
      <c r="K232" s="955"/>
    </row>
    <row r="233" spans="3:11" x14ac:dyDescent="0.25">
      <c r="C233" s="955"/>
      <c r="D233" s="955"/>
      <c r="E233" s="955"/>
      <c r="F233" s="955"/>
      <c r="G233" s="955"/>
      <c r="H233" s="955"/>
      <c r="I233" s="955"/>
      <c r="J233" s="955"/>
      <c r="K233" s="955"/>
    </row>
    <row r="234" spans="3:11" x14ac:dyDescent="0.25">
      <c r="C234" s="955"/>
      <c r="D234" s="955"/>
      <c r="E234" s="955"/>
      <c r="F234" s="955"/>
      <c r="G234" s="955"/>
      <c r="H234" s="955"/>
      <c r="I234" s="955"/>
      <c r="J234" s="955"/>
      <c r="K234" s="955"/>
    </row>
    <row r="235" spans="3:11" x14ac:dyDescent="0.25">
      <c r="C235" s="955"/>
      <c r="D235" s="955"/>
      <c r="E235" s="955"/>
      <c r="F235" s="955"/>
      <c r="G235" s="955"/>
      <c r="H235" s="955"/>
      <c r="I235" s="955"/>
      <c r="J235" s="955"/>
      <c r="K235" s="955"/>
    </row>
    <row r="236" spans="3:11" x14ac:dyDescent="0.25">
      <c r="C236" s="955"/>
      <c r="D236" s="955"/>
      <c r="E236" s="955"/>
      <c r="F236" s="955"/>
      <c r="G236" s="955"/>
      <c r="H236" s="955"/>
      <c r="I236" s="955"/>
      <c r="J236" s="955"/>
      <c r="K236" s="955"/>
    </row>
    <row r="237" spans="3:11" x14ac:dyDescent="0.25">
      <c r="C237" s="955"/>
      <c r="D237" s="955"/>
      <c r="E237" s="955"/>
      <c r="F237" s="955"/>
      <c r="G237" s="955"/>
      <c r="H237" s="955"/>
      <c r="I237" s="955"/>
      <c r="J237" s="955"/>
      <c r="K237" s="955"/>
    </row>
    <row r="238" spans="3:11" x14ac:dyDescent="0.25">
      <c r="C238" s="955"/>
      <c r="D238" s="955"/>
      <c r="E238" s="955"/>
      <c r="F238" s="955"/>
      <c r="G238" s="955"/>
      <c r="H238" s="955"/>
      <c r="I238" s="955"/>
      <c r="J238" s="955"/>
      <c r="K238" s="955"/>
    </row>
    <row r="239" spans="3:11" x14ac:dyDescent="0.25">
      <c r="C239" s="955"/>
      <c r="D239" s="955"/>
      <c r="E239" s="955"/>
      <c r="F239" s="955"/>
      <c r="G239" s="955"/>
      <c r="H239" s="955"/>
      <c r="I239" s="955"/>
      <c r="J239" s="955"/>
      <c r="K239" s="955"/>
    </row>
    <row r="240" spans="3:11" x14ac:dyDescent="0.25">
      <c r="C240" s="955"/>
      <c r="D240" s="955"/>
      <c r="E240" s="955"/>
      <c r="F240" s="955"/>
      <c r="G240" s="955"/>
      <c r="H240" s="955"/>
      <c r="I240" s="955"/>
      <c r="J240" s="955"/>
      <c r="K240" s="955"/>
    </row>
    <row r="241" spans="3:11" x14ac:dyDescent="0.25">
      <c r="C241" s="955"/>
      <c r="D241" s="955"/>
      <c r="E241" s="955"/>
      <c r="F241" s="955"/>
      <c r="G241" s="955"/>
      <c r="H241" s="955"/>
      <c r="I241" s="955"/>
      <c r="J241" s="955"/>
      <c r="K241" s="955"/>
    </row>
    <row r="242" spans="3:11" x14ac:dyDescent="0.25">
      <c r="C242" s="955"/>
      <c r="D242" s="955"/>
      <c r="E242" s="955"/>
      <c r="F242" s="955"/>
      <c r="G242" s="955"/>
      <c r="H242" s="955"/>
      <c r="I242" s="955"/>
      <c r="J242" s="955"/>
      <c r="K242" s="955"/>
    </row>
    <row r="243" spans="3:11" x14ac:dyDescent="0.25">
      <c r="C243" s="955"/>
      <c r="D243" s="955"/>
      <c r="E243" s="955"/>
      <c r="F243" s="955"/>
      <c r="G243" s="955"/>
      <c r="H243" s="955"/>
      <c r="I243" s="955"/>
      <c r="J243" s="955"/>
      <c r="K243" s="955"/>
    </row>
    <row r="244" spans="3:11" x14ac:dyDescent="0.25">
      <c r="C244" s="955"/>
      <c r="D244" s="955"/>
      <c r="E244" s="955"/>
      <c r="F244" s="955"/>
      <c r="G244" s="955"/>
      <c r="H244" s="955"/>
      <c r="I244" s="955"/>
      <c r="J244" s="955"/>
      <c r="K244" s="955"/>
    </row>
    <row r="245" spans="3:11" x14ac:dyDescent="0.25">
      <c r="C245" s="955"/>
      <c r="D245" s="955"/>
      <c r="E245" s="955"/>
      <c r="F245" s="955"/>
      <c r="G245" s="955"/>
      <c r="H245" s="955"/>
      <c r="I245" s="955"/>
      <c r="J245" s="955"/>
      <c r="K245" s="955"/>
    </row>
    <row r="246" spans="3:11" x14ac:dyDescent="0.25">
      <c r="C246" s="955"/>
      <c r="D246" s="955"/>
      <c r="E246" s="955"/>
      <c r="F246" s="955"/>
      <c r="G246" s="955"/>
      <c r="H246" s="955"/>
      <c r="I246" s="955"/>
      <c r="J246" s="955"/>
      <c r="K246" s="955"/>
    </row>
    <row r="247" spans="3:11" x14ac:dyDescent="0.25">
      <c r="C247" s="955"/>
      <c r="D247" s="955"/>
      <c r="E247" s="955"/>
      <c r="F247" s="955"/>
      <c r="G247" s="955"/>
      <c r="H247" s="955"/>
      <c r="I247" s="955"/>
      <c r="J247" s="955"/>
      <c r="K247" s="955"/>
    </row>
    <row r="248" spans="3:11" x14ac:dyDescent="0.25">
      <c r="C248" s="955"/>
      <c r="D248" s="955"/>
      <c r="E248" s="955"/>
      <c r="F248" s="955"/>
      <c r="G248" s="955"/>
      <c r="H248" s="955"/>
      <c r="I248" s="955"/>
      <c r="J248" s="955"/>
      <c r="K248" s="955"/>
    </row>
    <row r="249" spans="3:11" x14ac:dyDescent="0.25">
      <c r="C249" s="955"/>
      <c r="D249" s="955"/>
      <c r="E249" s="955"/>
      <c r="F249" s="955"/>
      <c r="G249" s="955"/>
      <c r="H249" s="955"/>
      <c r="I249" s="955"/>
      <c r="J249" s="955"/>
      <c r="K249" s="955"/>
    </row>
    <row r="250" spans="3:11" x14ac:dyDescent="0.25">
      <c r="C250" s="955"/>
      <c r="D250" s="955"/>
      <c r="E250" s="955"/>
      <c r="F250" s="955"/>
      <c r="G250" s="955"/>
      <c r="H250" s="955"/>
      <c r="I250" s="955"/>
      <c r="J250" s="955"/>
      <c r="K250" s="955"/>
    </row>
    <row r="251" spans="3:11" x14ac:dyDescent="0.25">
      <c r="C251" s="955"/>
      <c r="D251" s="955"/>
      <c r="E251" s="955"/>
      <c r="F251" s="955"/>
      <c r="G251" s="955"/>
      <c r="H251" s="955"/>
      <c r="I251" s="955"/>
      <c r="J251" s="955"/>
      <c r="K251" s="955"/>
    </row>
    <row r="252" spans="3:11" x14ac:dyDescent="0.25">
      <c r="C252" s="955"/>
      <c r="D252" s="955"/>
      <c r="E252" s="955"/>
      <c r="F252" s="955"/>
      <c r="G252" s="955"/>
      <c r="H252" s="955"/>
      <c r="I252" s="955"/>
      <c r="J252" s="955"/>
      <c r="K252" s="955"/>
    </row>
    <row r="253" spans="3:11" x14ac:dyDescent="0.25">
      <c r="C253" s="955"/>
      <c r="D253" s="955"/>
      <c r="E253" s="955"/>
      <c r="F253" s="955"/>
      <c r="G253" s="955"/>
      <c r="H253" s="955"/>
      <c r="I253" s="955"/>
      <c r="J253" s="955"/>
      <c r="K253" s="955"/>
    </row>
    <row r="254" spans="3:11" x14ac:dyDescent="0.25">
      <c r="C254" s="955"/>
      <c r="D254" s="955"/>
      <c r="E254" s="955"/>
      <c r="F254" s="955"/>
      <c r="G254" s="955"/>
      <c r="H254" s="955"/>
      <c r="I254" s="955"/>
      <c r="J254" s="955"/>
      <c r="K254" s="955"/>
    </row>
    <row r="255" spans="3:11" x14ac:dyDescent="0.25">
      <c r="C255" s="955"/>
      <c r="D255" s="955"/>
      <c r="E255" s="955"/>
      <c r="F255" s="955"/>
      <c r="G255" s="955"/>
      <c r="H255" s="955"/>
      <c r="I255" s="955"/>
      <c r="J255" s="955"/>
      <c r="K255" s="955"/>
    </row>
    <row r="256" spans="3:11" x14ac:dyDescent="0.25">
      <c r="C256" s="955"/>
      <c r="D256" s="955"/>
      <c r="E256" s="955"/>
      <c r="F256" s="955"/>
      <c r="G256" s="955"/>
      <c r="H256" s="955"/>
      <c r="I256" s="955"/>
      <c r="J256" s="955"/>
      <c r="K256" s="955"/>
    </row>
    <row r="257" spans="3:11" x14ac:dyDescent="0.25">
      <c r="C257" s="955"/>
      <c r="D257" s="955"/>
      <c r="E257" s="955"/>
      <c r="F257" s="955"/>
      <c r="G257" s="955"/>
      <c r="H257" s="955"/>
      <c r="I257" s="955"/>
      <c r="J257" s="955"/>
      <c r="K257" s="955"/>
    </row>
    <row r="258" spans="3:11" x14ac:dyDescent="0.25">
      <c r="C258" s="955"/>
      <c r="D258" s="955"/>
      <c r="E258" s="955"/>
      <c r="F258" s="955"/>
      <c r="G258" s="955"/>
      <c r="H258" s="955"/>
      <c r="I258" s="955"/>
      <c r="J258" s="955"/>
      <c r="K258" s="955"/>
    </row>
    <row r="259" spans="3:11" x14ac:dyDescent="0.25">
      <c r="C259" s="955"/>
      <c r="D259" s="955"/>
      <c r="E259" s="955"/>
      <c r="F259" s="955"/>
      <c r="G259" s="955"/>
      <c r="H259" s="955"/>
      <c r="I259" s="955"/>
      <c r="J259" s="955"/>
      <c r="K259" s="955"/>
    </row>
    <row r="260" spans="3:11" x14ac:dyDescent="0.25">
      <c r="C260" s="955"/>
      <c r="D260" s="955"/>
      <c r="E260" s="955"/>
      <c r="F260" s="955"/>
      <c r="G260" s="955"/>
      <c r="H260" s="955"/>
      <c r="I260" s="955"/>
      <c r="J260" s="955"/>
      <c r="K260" s="955"/>
    </row>
    <row r="261" spans="3:11" x14ac:dyDescent="0.25">
      <c r="C261" s="955"/>
      <c r="D261" s="955"/>
      <c r="E261" s="955"/>
      <c r="F261" s="955"/>
      <c r="G261" s="955"/>
      <c r="H261" s="955"/>
      <c r="I261" s="955"/>
      <c r="J261" s="955"/>
      <c r="K261" s="955"/>
    </row>
    <row r="262" spans="3:11" x14ac:dyDescent="0.25">
      <c r="C262" s="955"/>
      <c r="D262" s="955"/>
      <c r="E262" s="955"/>
      <c r="F262" s="955"/>
      <c r="G262" s="955"/>
      <c r="H262" s="955"/>
      <c r="I262" s="955"/>
      <c r="J262" s="955"/>
      <c r="K262" s="955"/>
    </row>
    <row r="263" spans="3:11" x14ac:dyDescent="0.25">
      <c r="C263" s="955"/>
      <c r="D263" s="955"/>
      <c r="E263" s="955"/>
      <c r="F263" s="955"/>
      <c r="G263" s="955"/>
      <c r="H263" s="955"/>
      <c r="I263" s="955"/>
      <c r="J263" s="955"/>
      <c r="K263" s="955"/>
    </row>
    <row r="264" spans="3:11" x14ac:dyDescent="0.25">
      <c r="C264" s="955"/>
      <c r="D264" s="955"/>
      <c r="E264" s="955"/>
      <c r="F264" s="955"/>
      <c r="G264" s="955"/>
      <c r="H264" s="955"/>
      <c r="I264" s="955"/>
      <c r="J264" s="955"/>
      <c r="K264" s="955"/>
    </row>
    <row r="265" spans="3:11" x14ac:dyDescent="0.25">
      <c r="C265" s="955"/>
      <c r="D265" s="955"/>
      <c r="E265" s="955"/>
      <c r="F265" s="955"/>
      <c r="G265" s="955"/>
      <c r="H265" s="955"/>
      <c r="I265" s="955"/>
      <c r="J265" s="955"/>
      <c r="K265" s="955"/>
    </row>
    <row r="266" spans="3:11" x14ac:dyDescent="0.25">
      <c r="C266" s="955"/>
      <c r="D266" s="955"/>
      <c r="E266" s="955"/>
      <c r="F266" s="955"/>
      <c r="G266" s="955"/>
      <c r="H266" s="955"/>
      <c r="I266" s="955"/>
      <c r="J266" s="955"/>
      <c r="K266" s="955"/>
    </row>
    <row r="267" spans="3:11" x14ac:dyDescent="0.25">
      <c r="C267" s="955"/>
      <c r="D267" s="955"/>
      <c r="E267" s="955"/>
      <c r="F267" s="955"/>
      <c r="G267" s="955"/>
      <c r="H267" s="955"/>
      <c r="I267" s="955"/>
      <c r="J267" s="955"/>
      <c r="K267" s="955"/>
    </row>
    <row r="268" spans="3:11" x14ac:dyDescent="0.25">
      <c r="C268" s="955"/>
      <c r="D268" s="955"/>
      <c r="E268" s="955"/>
      <c r="F268" s="955"/>
      <c r="G268" s="955"/>
      <c r="H268" s="955"/>
      <c r="I268" s="955"/>
      <c r="J268" s="955"/>
      <c r="K268" s="955"/>
    </row>
    <row r="269" spans="3:11" x14ac:dyDescent="0.25">
      <c r="C269" s="955"/>
      <c r="D269" s="955"/>
      <c r="E269" s="955"/>
      <c r="F269" s="955"/>
      <c r="G269" s="955"/>
      <c r="H269" s="955"/>
      <c r="I269" s="955"/>
      <c r="J269" s="955"/>
      <c r="K269" s="955"/>
    </row>
    <row r="270" spans="3:11" x14ac:dyDescent="0.25">
      <c r="C270" s="955"/>
      <c r="D270" s="955"/>
      <c r="E270" s="955"/>
      <c r="F270" s="955"/>
      <c r="G270" s="955"/>
      <c r="H270" s="955"/>
      <c r="I270" s="955"/>
      <c r="J270" s="955"/>
      <c r="K270" s="955"/>
    </row>
    <row r="271" spans="3:11" x14ac:dyDescent="0.25">
      <c r="C271" s="955"/>
      <c r="D271" s="955"/>
      <c r="E271" s="955"/>
      <c r="F271" s="955"/>
      <c r="G271" s="955"/>
      <c r="H271" s="955"/>
      <c r="I271" s="955"/>
      <c r="J271" s="955"/>
      <c r="K271" s="955"/>
    </row>
    <row r="272" spans="3:11" x14ac:dyDescent="0.25">
      <c r="C272" s="955"/>
      <c r="D272" s="955"/>
      <c r="E272" s="955"/>
      <c r="F272" s="955"/>
      <c r="G272" s="955"/>
      <c r="H272" s="955"/>
      <c r="I272" s="955"/>
      <c r="J272" s="955"/>
      <c r="K272" s="955"/>
    </row>
    <row r="273" spans="3:11" x14ac:dyDescent="0.25">
      <c r="C273" s="955"/>
      <c r="D273" s="955"/>
      <c r="E273" s="955"/>
      <c r="F273" s="955"/>
      <c r="G273" s="955"/>
      <c r="H273" s="955"/>
      <c r="I273" s="955"/>
      <c r="J273" s="955"/>
      <c r="K273" s="955"/>
    </row>
    <row r="274" spans="3:11" x14ac:dyDescent="0.25">
      <c r="C274" s="955"/>
      <c r="D274" s="955"/>
      <c r="E274" s="955"/>
      <c r="F274" s="955"/>
      <c r="G274" s="955"/>
      <c r="H274" s="955"/>
      <c r="I274" s="955"/>
      <c r="J274" s="955"/>
      <c r="K274" s="955"/>
    </row>
    <row r="275" spans="3:11" x14ac:dyDescent="0.25">
      <c r="C275" s="955"/>
      <c r="D275" s="955"/>
      <c r="E275" s="955"/>
      <c r="F275" s="955"/>
      <c r="G275" s="955"/>
      <c r="H275" s="955"/>
      <c r="I275" s="955"/>
      <c r="J275" s="955"/>
      <c r="K275" s="955"/>
    </row>
    <row r="276" spans="3:11" x14ac:dyDescent="0.25">
      <c r="C276" s="955"/>
      <c r="D276" s="955"/>
      <c r="E276" s="955"/>
      <c r="F276" s="955"/>
      <c r="G276" s="955"/>
      <c r="H276" s="955"/>
      <c r="I276" s="955"/>
      <c r="J276" s="955"/>
      <c r="K276" s="955"/>
    </row>
    <row r="405" ht="11.25" customHeight="1" x14ac:dyDescent="0.25"/>
  </sheetData>
  <customSheetViews>
    <customSheetView guid="{7F222B88-8DE7-4209-9261-78C075D2F561}" scale="75" showPageBreaks="1" printArea="1" view="pageBreakPreview" showRuler="0">
      <pane ySplit="2" topLeftCell="A4" activePane="bottomLeft" state="frozen"/>
      <selection pane="bottomLeft" activeCell="E12" sqref="E12:E48"/>
      <pageMargins left="0.74803149606299213" right="0.62992125984251968" top="0.70866141732283472" bottom="0.70866141732283472" header="0.51181102362204722" footer="0.51181102362204722"/>
      <pageSetup paperSize="9" scale="67" orientation="portrait" r:id="rId1"/>
      <headerFooter alignWithMargins="0">
        <oddFooter>&amp;C&amp;"Arial Narrow,Regular"Page &amp;P of &amp;N</oddFooter>
      </headerFooter>
    </customSheetView>
  </customSheetViews>
  <mergeCells count="19">
    <mergeCell ref="D30:K30"/>
    <mergeCell ref="A32:B32"/>
    <mergeCell ref="M31:S32"/>
    <mergeCell ref="D77:K77"/>
    <mergeCell ref="E49:E51"/>
    <mergeCell ref="G31:I31"/>
    <mergeCell ref="G49:I49"/>
    <mergeCell ref="F31:F32"/>
    <mergeCell ref="F49:F50"/>
    <mergeCell ref="E31:E33"/>
    <mergeCell ref="D18:J18"/>
    <mergeCell ref="D19:K19"/>
    <mergeCell ref="D20:K20"/>
    <mergeCell ref="D28:J28"/>
    <mergeCell ref="D11:K11"/>
    <mergeCell ref="D14:K14"/>
    <mergeCell ref="D15:K15"/>
    <mergeCell ref="D16:J16"/>
    <mergeCell ref="D17:J17"/>
  </mergeCells>
  <phoneticPr fontId="0" type="noConversion"/>
  <pageMargins left="0.31496062992125984" right="0.31496062992125984" top="0.35433070866141736" bottom="0.35433070866141736" header="0.11811023622047245" footer="0.11811023622047245"/>
  <pageSetup paperSize="9" orientation="portrait" r:id="rId2"/>
  <headerFoot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FFFF00"/>
  </sheetPr>
  <dimension ref="A1:T209"/>
  <sheetViews>
    <sheetView showGridLines="0" view="pageBreakPreview" zoomScaleNormal="85" zoomScaleSheetLayoutView="100" workbookViewId="0">
      <pane ySplit="2" topLeftCell="A51" activePane="bottomLeft" state="frozen"/>
      <selection pane="bottomLeft"/>
    </sheetView>
  </sheetViews>
  <sheetFormatPr defaultColWidth="9" defaultRowHeight="13.8" x14ac:dyDescent="0.25"/>
  <cols>
    <col min="1" max="1" width="12.19921875" style="6" customWidth="1"/>
    <col min="2" max="2" width="6" style="6" customWidth="1"/>
    <col min="3" max="3" width="2.5" style="6" customWidth="1"/>
    <col min="4" max="4" width="20.69921875" style="6" customWidth="1"/>
    <col min="5" max="11" width="8.8984375" style="6" bestFit="1" customWidth="1"/>
    <col min="12" max="12" width="9" style="6"/>
    <col min="13" max="13" width="5.19921875" style="6" bestFit="1" customWidth="1"/>
    <col min="14" max="16384" width="9" style="6"/>
  </cols>
  <sheetData>
    <row r="1" spans="1:12" ht="18" customHeight="1" x14ac:dyDescent="0.25">
      <c r="A1" s="145" t="s">
        <v>206</v>
      </c>
      <c r="B1" s="145"/>
      <c r="C1" s="50" t="str">
        <f>IF('Merge Details_Printing instr'!$B$11="Insert details here",'Merge Details_Printing instr'!$A$11,'Merge Details_Printing instr'!$B$11)</f>
        <v>Council Name</v>
      </c>
      <c r="F1" s="534"/>
      <c r="G1" s="534" t="s">
        <v>33</v>
      </c>
      <c r="H1" s="534"/>
      <c r="I1" s="161"/>
      <c r="J1" s="161"/>
      <c r="K1" s="161"/>
    </row>
    <row r="2" spans="1:12" s="7" customFormat="1" ht="18" customHeight="1" x14ac:dyDescent="0.25">
      <c r="A2" s="145" t="s">
        <v>696</v>
      </c>
      <c r="B2" s="145" t="s">
        <v>207</v>
      </c>
      <c r="C2" s="84" t="str">
        <f>+'Merge Details_Printing instr'!A12</f>
        <v>2023-2024 Financial Report</v>
      </c>
      <c r="F2" s="533"/>
      <c r="G2" s="533" t="str">
        <f>'Merge Details_Printing instr'!$A$14</f>
        <v>For the Year Ended 30 June 2024</v>
      </c>
      <c r="H2" s="533"/>
      <c r="I2" s="163"/>
      <c r="J2" s="163"/>
      <c r="K2" s="163"/>
    </row>
    <row r="3" spans="1:12" x14ac:dyDescent="0.25">
      <c r="C3" s="952"/>
      <c r="D3" s="1415"/>
      <c r="E3" s="1265"/>
      <c r="F3" s="1265"/>
      <c r="G3" s="1265"/>
      <c r="H3" s="1265"/>
      <c r="I3" s="1430"/>
      <c r="J3" s="1430"/>
      <c r="K3" s="1430"/>
    </row>
    <row r="4" spans="1:12" s="14" customFormat="1" ht="14.4" x14ac:dyDescent="0.25">
      <c r="A4" s="254">
        <v>7</v>
      </c>
      <c r="B4" s="254">
        <v>25</v>
      </c>
      <c r="C4" s="1363"/>
      <c r="D4" s="957" t="str">
        <f>'Note 9.11a &amp; b'!D4&amp;" (Continued)"</f>
        <v>Note 9.11  Financial Instruments (Continued)</v>
      </c>
      <c r="E4" s="955"/>
      <c r="F4" s="955"/>
      <c r="G4" s="955"/>
      <c r="H4" s="955"/>
      <c r="I4" s="955"/>
      <c r="J4" s="955"/>
      <c r="K4" s="955"/>
    </row>
    <row r="5" spans="1:12" s="14" customFormat="1" ht="14.4" x14ac:dyDescent="0.25">
      <c r="A5" s="254"/>
      <c r="B5" s="254"/>
      <c r="C5" s="955"/>
      <c r="D5" s="957" t="s">
        <v>2037</v>
      </c>
      <c r="E5" s="1363"/>
      <c r="F5" s="1363"/>
      <c r="G5" s="1363"/>
      <c r="H5" s="1363"/>
      <c r="I5" s="1363"/>
      <c r="J5" s="1363"/>
      <c r="K5" s="1363"/>
    </row>
    <row r="6" spans="1:12" s="14" customFormat="1" ht="7.95" customHeight="1" x14ac:dyDescent="0.25">
      <c r="A6" s="254"/>
      <c r="B6" s="254"/>
      <c r="C6" s="1363"/>
      <c r="D6" s="1431"/>
      <c r="E6" s="1363"/>
      <c r="F6" s="1363"/>
      <c r="G6" s="1363"/>
      <c r="H6" s="1363"/>
      <c r="I6" s="1363"/>
      <c r="J6" s="1363"/>
      <c r="K6" s="1363"/>
    </row>
    <row r="7" spans="1:12" s="14" customFormat="1" ht="14.4" x14ac:dyDescent="0.25">
      <c r="A7" s="254"/>
      <c r="B7" s="254"/>
      <c r="C7" s="1363"/>
      <c r="D7" s="1289" t="s">
        <v>5</v>
      </c>
      <c r="E7" s="1363"/>
      <c r="F7" s="1363"/>
      <c r="G7" s="1363"/>
      <c r="H7" s="1363"/>
      <c r="I7" s="1363"/>
      <c r="J7" s="1363"/>
      <c r="K7" s="1363"/>
    </row>
    <row r="8" spans="1:12" s="14" customFormat="1" ht="42.75" customHeight="1" x14ac:dyDescent="0.25">
      <c r="A8" s="254"/>
      <c r="B8" s="254"/>
      <c r="C8" s="1363"/>
      <c r="D8" s="2303" t="s">
        <v>764</v>
      </c>
      <c r="E8" s="2303"/>
      <c r="F8" s="2303"/>
      <c r="G8" s="2303"/>
      <c r="H8" s="2303"/>
      <c r="I8" s="2303"/>
      <c r="J8" s="2303"/>
      <c r="K8" s="2303"/>
    </row>
    <row r="9" spans="1:12" s="14" customFormat="1" ht="14.4" x14ac:dyDescent="0.25">
      <c r="A9" s="254"/>
      <c r="B9" s="254"/>
      <c r="C9" s="1363"/>
      <c r="D9" s="1228" t="s">
        <v>196</v>
      </c>
      <c r="E9" s="1228"/>
      <c r="F9" s="1228"/>
      <c r="G9" s="1228"/>
      <c r="H9" s="1228"/>
      <c r="I9" s="1228"/>
      <c r="J9" s="1228"/>
      <c r="K9" s="1363"/>
    </row>
    <row r="10" spans="1:12" s="14" customFormat="1" ht="14.4" x14ac:dyDescent="0.25">
      <c r="A10" s="254"/>
      <c r="B10" s="254"/>
      <c r="C10" s="1363"/>
      <c r="D10" s="1228" t="s">
        <v>197</v>
      </c>
      <c r="E10" s="1228"/>
      <c r="F10" s="1228"/>
      <c r="G10" s="1228"/>
      <c r="H10" s="1228"/>
      <c r="I10" s="1228"/>
      <c r="J10" s="1228"/>
      <c r="K10" s="1363"/>
    </row>
    <row r="11" spans="1:12" s="14" customFormat="1" ht="14.4" x14ac:dyDescent="0.25">
      <c r="A11" s="253">
        <v>7</v>
      </c>
      <c r="B11" s="253" t="s">
        <v>651</v>
      </c>
      <c r="C11" s="1363"/>
      <c r="D11" s="2266" t="s">
        <v>311</v>
      </c>
      <c r="E11" s="2266"/>
      <c r="F11" s="2266"/>
      <c r="G11" s="2266"/>
      <c r="H11" s="2266"/>
      <c r="I11" s="2266"/>
      <c r="J11" s="2266"/>
      <c r="K11" s="1363"/>
    </row>
    <row r="12" spans="1:12" s="14" customFormat="1" ht="9" customHeight="1" x14ac:dyDescent="0.25">
      <c r="A12" s="254"/>
      <c r="B12" s="254"/>
      <c r="C12" s="1363"/>
      <c r="D12" s="1363"/>
      <c r="E12" s="1363"/>
      <c r="F12" s="1363"/>
      <c r="G12" s="1363"/>
      <c r="H12" s="1363"/>
      <c r="I12" s="1363"/>
      <c r="J12" s="1363"/>
      <c r="K12" s="1363"/>
    </row>
    <row r="13" spans="1:12" s="14" customFormat="1" ht="121.5" customHeight="1" x14ac:dyDescent="0.25">
      <c r="A13" s="254"/>
      <c r="B13" s="254"/>
      <c r="C13" s="1363"/>
      <c r="D13" s="2303" t="s">
        <v>765</v>
      </c>
      <c r="E13" s="2303"/>
      <c r="F13" s="2303"/>
      <c r="G13" s="2303"/>
      <c r="H13" s="2303"/>
      <c r="I13" s="2303"/>
      <c r="J13" s="2303"/>
      <c r="K13" s="2303"/>
    </row>
    <row r="14" spans="1:12" s="14" customFormat="1" ht="37.5" customHeight="1" x14ac:dyDescent="0.25">
      <c r="A14" s="254">
        <v>7</v>
      </c>
      <c r="B14" s="254" t="s">
        <v>3</v>
      </c>
      <c r="C14" s="1363"/>
      <c r="D14" s="2256" t="s">
        <v>763</v>
      </c>
      <c r="E14" s="2256"/>
      <c r="F14" s="2256"/>
      <c r="G14" s="2256"/>
      <c r="H14" s="2256"/>
      <c r="I14" s="2256"/>
      <c r="J14" s="2256"/>
      <c r="K14" s="2256"/>
    </row>
    <row r="15" spans="1:12" s="14" customFormat="1" ht="36" customHeight="1" x14ac:dyDescent="0.25">
      <c r="A15" s="254"/>
      <c r="B15" s="254"/>
      <c r="C15" s="1363"/>
      <c r="D15" s="2303" t="str">
        <f>"Council may also be subject to credit risk for transactions which are not included in the Statement of Financial Position, such as when Council provides a guarantee for another party. Details of our contingent liabilities are disclosed in note "&amp;'Note 9'!D234&amp;"."</f>
        <v>Council may also be subject to credit risk for transactions which are not included in the Statement of Financial Position, such as when Council provides a guarantee for another party. Details of our contingent liabilities are disclosed in note 9.1.</v>
      </c>
      <c r="E15" s="2303"/>
      <c r="F15" s="2303"/>
      <c r="G15" s="2303"/>
      <c r="H15" s="2303"/>
      <c r="I15" s="2303"/>
      <c r="J15" s="2303"/>
      <c r="K15" s="2303"/>
      <c r="L15" s="360"/>
    </row>
    <row r="16" spans="1:12" s="14" customFormat="1" ht="16.5" customHeight="1" x14ac:dyDescent="0.25">
      <c r="A16" s="254"/>
      <c r="B16" s="254"/>
      <c r="C16" s="1363"/>
      <c r="D16" s="1363"/>
      <c r="E16" s="1363"/>
      <c r="F16" s="1363"/>
      <c r="G16" s="1363"/>
      <c r="H16" s="1363"/>
      <c r="I16" s="1363"/>
      <c r="J16" s="1363"/>
      <c r="K16" s="1363"/>
    </row>
    <row r="17" spans="1:15" s="14" customFormat="1" ht="14.4" x14ac:dyDescent="0.25">
      <c r="A17" s="254"/>
      <c r="B17" s="254"/>
      <c r="C17" s="1363"/>
      <c r="D17" s="1435" t="s">
        <v>766</v>
      </c>
      <c r="E17" s="1436"/>
      <c r="F17" s="1436"/>
      <c r="G17" s="1436"/>
      <c r="H17" s="1436"/>
      <c r="I17" s="1436"/>
      <c r="J17" s="1436"/>
      <c r="K17" s="1436"/>
    </row>
    <row r="18" spans="1:15" s="14" customFormat="1" ht="27.6" x14ac:dyDescent="0.25">
      <c r="A18" s="253" t="s">
        <v>820</v>
      </c>
      <c r="B18" s="253" t="s">
        <v>821</v>
      </c>
      <c r="C18" s="1363"/>
      <c r="D18" s="1436"/>
      <c r="E18" s="1436"/>
      <c r="F18" s="1436"/>
      <c r="G18" s="1436"/>
      <c r="H18" s="1437" t="s">
        <v>767</v>
      </c>
      <c r="I18" s="1437" t="s">
        <v>249</v>
      </c>
      <c r="J18" s="1437" t="s">
        <v>102</v>
      </c>
      <c r="K18" s="1437" t="s">
        <v>103</v>
      </c>
    </row>
    <row r="19" spans="1:15" s="14" customFormat="1" ht="42" customHeight="1" x14ac:dyDescent="0.25">
      <c r="A19" s="254"/>
      <c r="B19" s="254"/>
      <c r="C19" s="1363"/>
      <c r="D19" s="1438">
        <f>+'Merge Details_Printing instr'!A19</f>
        <v>2024</v>
      </c>
      <c r="E19" s="1436"/>
      <c r="F19" s="1436"/>
      <c r="G19" s="1436"/>
      <c r="H19" s="1437" t="s">
        <v>247</v>
      </c>
      <c r="I19" s="1437" t="s">
        <v>248</v>
      </c>
      <c r="J19" s="1437" t="s">
        <v>250</v>
      </c>
      <c r="K19" s="1435"/>
      <c r="L19" s="312" t="s">
        <v>1508</v>
      </c>
      <c r="M19" s="312"/>
      <c r="N19" s="312"/>
      <c r="O19" s="312"/>
    </row>
    <row r="20" spans="1:15" s="14" customFormat="1" ht="14.4" x14ac:dyDescent="0.25">
      <c r="A20" s="254"/>
      <c r="B20" s="254"/>
      <c r="C20" s="1363"/>
      <c r="D20" s="2279" t="s">
        <v>39</v>
      </c>
      <c r="E20" s="2279"/>
      <c r="F20" s="1436"/>
      <c r="G20" s="1436"/>
      <c r="H20" s="1439">
        <v>3461</v>
      </c>
      <c r="I20" s="1439">
        <v>5000</v>
      </c>
      <c r="J20" s="1439">
        <v>5000</v>
      </c>
      <c r="K20" s="1439">
        <f>SUM(H20:J20)</f>
        <v>13461</v>
      </c>
      <c r="L20" s="676">
        <f>M20-K20</f>
        <v>0</v>
      </c>
      <c r="M20" s="312">
        <f>'Notes 2 to 5'!K395</f>
        <v>13461</v>
      </c>
      <c r="N20" s="312" t="s">
        <v>1598</v>
      </c>
      <c r="O20" s="312"/>
    </row>
    <row r="21" spans="1:15" s="14" customFormat="1" ht="14.4" x14ac:dyDescent="0.25">
      <c r="A21" s="254"/>
      <c r="B21" s="254"/>
      <c r="C21" s="1363"/>
      <c r="D21" s="2279" t="s">
        <v>40</v>
      </c>
      <c r="E21" s="2279"/>
      <c r="F21" s="1436"/>
      <c r="G21" s="1436"/>
      <c r="H21" s="1439">
        <v>0</v>
      </c>
      <c r="I21" s="1439">
        <v>0</v>
      </c>
      <c r="J21" s="1439">
        <v>6808</v>
      </c>
      <c r="K21" s="1439">
        <f>SUM(H21:J21)</f>
        <v>6808</v>
      </c>
      <c r="L21" s="676">
        <f>M21-K21</f>
        <v>0</v>
      </c>
      <c r="M21" s="312">
        <f>'Notes 2 to 5'!K440</f>
        <v>6808</v>
      </c>
      <c r="N21" s="312" t="s">
        <v>1597</v>
      </c>
      <c r="O21" s="312"/>
    </row>
    <row r="22" spans="1:15" s="14" customFormat="1" ht="14.4" x14ac:dyDescent="0.25">
      <c r="A22" s="254"/>
      <c r="B22" s="254"/>
      <c r="C22" s="1363"/>
      <c r="D22" s="1440" t="s">
        <v>245</v>
      </c>
      <c r="E22" s="1440"/>
      <c r="F22" s="1436"/>
      <c r="G22" s="1436"/>
      <c r="H22" s="1439">
        <v>150</v>
      </c>
      <c r="I22" s="1439">
        <v>50</v>
      </c>
      <c r="J22" s="1439">
        <v>0</v>
      </c>
      <c r="K22" s="1439">
        <f>SUM(H22:J22)</f>
        <v>200</v>
      </c>
      <c r="L22" s="676">
        <f>M22-K22</f>
        <v>0</v>
      </c>
      <c r="M22" s="312">
        <f>'Notes 2 to 5'!K463</f>
        <v>200</v>
      </c>
      <c r="N22" s="312" t="s">
        <v>1599</v>
      </c>
      <c r="O22" s="312"/>
    </row>
    <row r="23" spans="1:15" s="14" customFormat="1" ht="14.4" x14ac:dyDescent="0.25">
      <c r="A23" s="254"/>
      <c r="B23" s="254"/>
      <c r="C23" s="1363"/>
      <c r="D23" s="1441" t="s">
        <v>246</v>
      </c>
      <c r="E23" s="1440"/>
      <c r="F23" s="1436"/>
      <c r="G23" s="1436"/>
      <c r="H23" s="1442">
        <f>SUM(H20:H22)</f>
        <v>3611</v>
      </c>
      <c r="I23" s="1442">
        <f>SUM(I20:I22)</f>
        <v>5050</v>
      </c>
      <c r="J23" s="1442">
        <f>SUM(J20:J22)</f>
        <v>11808</v>
      </c>
      <c r="K23" s="1442">
        <f>SUM(K20:K22)</f>
        <v>20469</v>
      </c>
      <c r="L23" s="312"/>
      <c r="M23" s="312"/>
      <c r="N23" s="312"/>
      <c r="O23" s="312"/>
    </row>
    <row r="24" spans="1:15" s="14" customFormat="1" ht="14.4" x14ac:dyDescent="0.25">
      <c r="A24" s="254"/>
      <c r="B24" s="254"/>
      <c r="C24" s="1363"/>
      <c r="D24" s="1440"/>
      <c r="E24" s="1440"/>
      <c r="F24" s="1436"/>
      <c r="G24" s="1436"/>
      <c r="H24" s="1436"/>
      <c r="I24" s="1436"/>
      <c r="J24" s="1436"/>
      <c r="K24" s="1436"/>
      <c r="L24" s="312"/>
      <c r="M24" s="312"/>
      <c r="N24" s="312"/>
      <c r="O24" s="312"/>
    </row>
    <row r="25" spans="1:15" s="14" customFormat="1" ht="14.4" x14ac:dyDescent="0.25">
      <c r="A25" s="254"/>
      <c r="B25" s="254"/>
      <c r="C25" s="1363"/>
      <c r="D25" s="1440"/>
      <c r="E25" s="1440"/>
      <c r="F25" s="1436"/>
      <c r="G25" s="1436"/>
      <c r="H25" s="1436"/>
      <c r="I25" s="1436"/>
      <c r="J25" s="1436"/>
      <c r="K25" s="1436"/>
      <c r="L25" s="312"/>
      <c r="M25" s="312"/>
      <c r="N25" s="312"/>
      <c r="O25" s="312"/>
    </row>
    <row r="26" spans="1:15" s="14" customFormat="1" ht="14.4" x14ac:dyDescent="0.25">
      <c r="A26" s="254"/>
      <c r="B26" s="254"/>
      <c r="C26" s="1363"/>
      <c r="D26" s="1443">
        <f>+'Merge Details_Printing instr'!A20</f>
        <v>2023</v>
      </c>
      <c r="E26" s="1440"/>
      <c r="F26" s="1436"/>
      <c r="G26" s="1436"/>
      <c r="H26" s="1436"/>
      <c r="I26" s="1436"/>
      <c r="J26" s="1436"/>
      <c r="K26" s="1436"/>
      <c r="L26" s="312"/>
      <c r="M26" s="312"/>
      <c r="N26" s="312"/>
      <c r="O26" s="312"/>
    </row>
    <row r="27" spans="1:15" s="14" customFormat="1" ht="14.4" x14ac:dyDescent="0.25">
      <c r="A27" s="254"/>
      <c r="B27" s="254"/>
      <c r="C27" s="1363"/>
      <c r="D27" s="2279" t="s">
        <v>39</v>
      </c>
      <c r="E27" s="2279"/>
      <c r="F27" s="1436"/>
      <c r="G27" s="1436"/>
      <c r="H27" s="1439">
        <v>6783</v>
      </c>
      <c r="I27" s="1439">
        <v>4000</v>
      </c>
      <c r="J27" s="1439">
        <v>4000</v>
      </c>
      <c r="K27" s="1439">
        <f>SUM(H27:J27)</f>
        <v>14783</v>
      </c>
      <c r="L27" s="676">
        <f>M27-K27</f>
        <v>0</v>
      </c>
      <c r="M27" s="312">
        <f>'Notes 2 to 5'!M395</f>
        <v>14783</v>
      </c>
      <c r="N27" s="312" t="s">
        <v>1598</v>
      </c>
      <c r="O27" s="312"/>
    </row>
    <row r="28" spans="1:15" s="14" customFormat="1" ht="14.4" x14ac:dyDescent="0.25">
      <c r="A28" s="254"/>
      <c r="B28" s="254"/>
      <c r="C28" s="1363"/>
      <c r="D28" s="2279" t="s">
        <v>40</v>
      </c>
      <c r="E28" s="2279"/>
      <c r="F28" s="1436"/>
      <c r="G28" s="1436"/>
      <c r="H28" s="1439">
        <v>0</v>
      </c>
      <c r="I28" s="1439">
        <v>0</v>
      </c>
      <c r="J28" s="1439">
        <v>4690</v>
      </c>
      <c r="K28" s="1439">
        <f>SUM(H28:J28)</f>
        <v>4690</v>
      </c>
      <c r="L28" s="676">
        <f>M28-K28</f>
        <v>0</v>
      </c>
      <c r="M28" s="312">
        <f>'Notes 2 to 5'!M440</f>
        <v>4690</v>
      </c>
      <c r="N28" s="312" t="s">
        <v>1597</v>
      </c>
      <c r="O28" s="312"/>
    </row>
    <row r="29" spans="1:15" s="14" customFormat="1" ht="14.4" x14ac:dyDescent="0.25">
      <c r="A29" s="254"/>
      <c r="B29" s="254"/>
      <c r="C29" s="1363"/>
      <c r="D29" s="1436" t="s">
        <v>245</v>
      </c>
      <c r="E29" s="1436"/>
      <c r="F29" s="1436"/>
      <c r="G29" s="1436"/>
      <c r="H29" s="1439">
        <v>186</v>
      </c>
      <c r="I29" s="1439">
        <v>10</v>
      </c>
      <c r="J29" s="1439">
        <v>0</v>
      </c>
      <c r="K29" s="1439">
        <f>SUM(H29:J29)</f>
        <v>196</v>
      </c>
      <c r="L29" s="676">
        <f>M29-K29</f>
        <v>0</v>
      </c>
      <c r="M29" s="312">
        <f>'Notes 2 to 5'!M463</f>
        <v>196</v>
      </c>
      <c r="N29" s="312" t="s">
        <v>1599</v>
      </c>
      <c r="O29" s="312"/>
    </row>
    <row r="30" spans="1:15" s="14" customFormat="1" ht="14.4" x14ac:dyDescent="0.25">
      <c r="A30" s="254"/>
      <c r="B30" s="254"/>
      <c r="C30" s="1363"/>
      <c r="D30" s="1435" t="s">
        <v>246</v>
      </c>
      <c r="E30" s="1436"/>
      <c r="F30" s="1436"/>
      <c r="G30" s="1436"/>
      <c r="H30" s="1442">
        <f>SUM(H27:H29)</f>
        <v>6969</v>
      </c>
      <c r="I30" s="1442">
        <f>SUM(I27:I29)</f>
        <v>4010</v>
      </c>
      <c r="J30" s="1442">
        <f>SUM(J27:J29)</f>
        <v>8690</v>
      </c>
      <c r="K30" s="1442">
        <f>SUM(K27:K29)</f>
        <v>19669</v>
      </c>
    </row>
    <row r="31" spans="1:15" s="14" customFormat="1" ht="14.4" x14ac:dyDescent="0.25">
      <c r="A31" s="254"/>
      <c r="B31" s="254"/>
      <c r="C31" s="1363"/>
      <c r="D31" s="1436"/>
      <c r="E31" s="1436"/>
      <c r="F31" s="1436"/>
      <c r="G31" s="1436"/>
      <c r="H31" s="1436"/>
      <c r="I31" s="1436"/>
      <c r="J31" s="1436"/>
      <c r="K31" s="1436"/>
    </row>
    <row r="32" spans="1:15" s="14" customFormat="1" ht="31.5" customHeight="1" x14ac:dyDescent="0.25">
      <c r="A32" s="254"/>
      <c r="B32" s="254"/>
      <c r="C32" s="1363"/>
      <c r="D32" s="2304" t="s">
        <v>251</v>
      </c>
      <c r="E32" s="2304"/>
      <c r="F32" s="2304"/>
      <c r="G32" s="2304"/>
      <c r="H32" s="2304"/>
      <c r="I32" s="2304"/>
      <c r="J32" s="2304"/>
      <c r="K32" s="2304"/>
    </row>
    <row r="33" spans="1:15" s="14" customFormat="1" ht="14.4" x14ac:dyDescent="0.25">
      <c r="A33" s="254"/>
      <c r="B33" s="254"/>
      <c r="C33" s="1363"/>
      <c r="D33" s="955"/>
      <c r="E33" s="955"/>
      <c r="F33" s="955"/>
      <c r="G33" s="955"/>
      <c r="H33" s="955"/>
      <c r="I33" s="955"/>
      <c r="J33" s="955"/>
      <c r="K33" s="1363"/>
    </row>
    <row r="34" spans="1:15" s="14" customFormat="1" ht="14.4" x14ac:dyDescent="0.25">
      <c r="A34" s="254"/>
      <c r="B34" s="254"/>
      <c r="C34" s="1363"/>
      <c r="D34" s="1446" t="str">
        <f>D4</f>
        <v>Note 9.11  Financial Instruments (Continued)</v>
      </c>
      <c r="E34" s="955"/>
      <c r="F34" s="955"/>
      <c r="G34" s="955"/>
      <c r="H34" s="955"/>
      <c r="I34" s="955"/>
      <c r="J34" s="955"/>
      <c r="K34" s="1363"/>
    </row>
    <row r="35" spans="1:15" s="14" customFormat="1" ht="14.4" x14ac:dyDescent="0.25">
      <c r="A35" s="254"/>
      <c r="B35" s="254"/>
      <c r="C35" s="955"/>
      <c r="D35" s="957" t="s">
        <v>2023</v>
      </c>
      <c r="E35" s="955"/>
      <c r="F35" s="955"/>
      <c r="G35" s="955"/>
      <c r="H35" s="955"/>
      <c r="I35" s="955"/>
      <c r="J35" s="955"/>
      <c r="K35" s="1363"/>
    </row>
    <row r="36" spans="1:15" s="14" customFormat="1" ht="14.4" x14ac:dyDescent="0.25">
      <c r="A36" s="254"/>
      <c r="B36" s="254"/>
      <c r="C36" s="955"/>
      <c r="D36" s="957" t="s">
        <v>357</v>
      </c>
      <c r="E36" s="955"/>
      <c r="F36" s="955"/>
      <c r="G36" s="955"/>
      <c r="H36" s="955"/>
      <c r="I36" s="955"/>
      <c r="J36" s="955"/>
      <c r="K36" s="1363"/>
    </row>
    <row r="37" spans="1:15" s="14" customFormat="1" ht="42" customHeight="1" x14ac:dyDescent="0.25">
      <c r="A37" s="254"/>
      <c r="B37" s="254"/>
      <c r="C37" s="955"/>
      <c r="D37" s="2147" t="s">
        <v>1390</v>
      </c>
      <c r="E37" s="2147"/>
      <c r="F37" s="2147"/>
      <c r="G37" s="2147"/>
      <c r="H37" s="2147"/>
      <c r="I37" s="2147"/>
      <c r="J37" s="2147"/>
      <c r="K37" s="2147"/>
    </row>
    <row r="38" spans="1:15" s="14" customFormat="1" ht="15" thickBot="1" x14ac:dyDescent="0.3">
      <c r="A38" s="142"/>
      <c r="B38" s="142"/>
      <c r="C38" s="955"/>
      <c r="D38" s="955"/>
      <c r="E38" s="955"/>
      <c r="F38" s="955"/>
      <c r="G38" s="955"/>
      <c r="H38" s="955"/>
      <c r="I38" s="1363"/>
      <c r="J38" s="1444">
        <f>+'Merge Details_Printing instr'!$A$19</f>
        <v>2024</v>
      </c>
      <c r="K38" s="1444">
        <f>+'Merge Details_Printing instr'!A20</f>
        <v>2023</v>
      </c>
      <c r="L38" s="312" t="s">
        <v>1384</v>
      </c>
      <c r="M38" s="312"/>
      <c r="N38" s="312"/>
      <c r="O38" s="312"/>
    </row>
    <row r="39" spans="1:15" s="14" customFormat="1" ht="15" thickBot="1" x14ac:dyDescent="0.3">
      <c r="A39" s="142"/>
      <c r="B39" s="142"/>
      <c r="C39" s="955"/>
      <c r="D39" s="955"/>
      <c r="E39" s="955"/>
      <c r="F39" s="955"/>
      <c r="G39" s="955"/>
      <c r="H39" s="955"/>
      <c r="I39" s="1363"/>
      <c r="J39" s="1328" t="s">
        <v>60</v>
      </c>
      <c r="K39" s="1328" t="s">
        <v>60</v>
      </c>
      <c r="L39" s="312"/>
      <c r="M39" s="375">
        <f>J38</f>
        <v>2024</v>
      </c>
      <c r="N39" s="376">
        <f>K38</f>
        <v>2023</v>
      </c>
      <c r="O39" s="377"/>
    </row>
    <row r="40" spans="1:15" s="14" customFormat="1" ht="14.4" x14ac:dyDescent="0.25">
      <c r="A40" s="142"/>
      <c r="B40" s="142"/>
      <c r="C40" s="955"/>
      <c r="D40" s="955" t="s">
        <v>358</v>
      </c>
      <c r="E40" s="955"/>
      <c r="F40" s="955"/>
      <c r="G40" s="955"/>
      <c r="H40" s="955"/>
      <c r="I40" s="1363"/>
      <c r="J40" s="1085">
        <f>3437-164+1657</f>
        <v>4930</v>
      </c>
      <c r="K40" s="1085">
        <f>3039-214</f>
        <v>2825</v>
      </c>
      <c r="L40" s="312" t="s">
        <v>749</v>
      </c>
      <c r="M40" s="369">
        <f>'Notes 2 to 5'!K440-J45</f>
        <v>-0.35599999999976717</v>
      </c>
      <c r="N40" s="370">
        <f>'Notes 2 to 5'!M440-K45</f>
        <v>-0.40999999999985448</v>
      </c>
      <c r="O40" s="371" t="s">
        <v>993</v>
      </c>
    </row>
    <row r="41" spans="1:15" s="14" customFormat="1" ht="15" thickBot="1" x14ac:dyDescent="0.3">
      <c r="A41" s="142"/>
      <c r="B41" s="142"/>
      <c r="C41" s="955"/>
      <c r="D41" s="955" t="s">
        <v>359</v>
      </c>
      <c r="E41" s="955"/>
      <c r="F41" s="955"/>
      <c r="G41" s="955"/>
      <c r="H41" s="955"/>
      <c r="I41" s="1363"/>
      <c r="J41" s="1085">
        <v>224</v>
      </c>
      <c r="K41" s="1085">
        <v>187</v>
      </c>
      <c r="M41" s="372"/>
      <c r="N41" s="373"/>
      <c r="O41" s="374"/>
    </row>
    <row r="42" spans="1:15" s="14" customFormat="1" ht="14.4" x14ac:dyDescent="0.25">
      <c r="A42" s="142"/>
      <c r="B42" s="142"/>
      <c r="C42" s="955"/>
      <c r="D42" s="955" t="s">
        <v>360</v>
      </c>
      <c r="E42" s="955"/>
      <c r="F42" s="955"/>
      <c r="G42" s="955"/>
      <c r="H42" s="955"/>
      <c r="I42" s="1363"/>
      <c r="J42" s="1085">
        <v>698</v>
      </c>
      <c r="K42" s="1085">
        <v>687</v>
      </c>
    </row>
    <row r="43" spans="1:15" s="14" customFormat="1" ht="14.4" x14ac:dyDescent="0.25">
      <c r="A43" s="142"/>
      <c r="B43" s="142"/>
      <c r="C43" s="955"/>
      <c r="D43" s="955" t="s">
        <v>361</v>
      </c>
      <c r="E43" s="955"/>
      <c r="F43" s="955"/>
      <c r="G43" s="955"/>
      <c r="H43" s="955"/>
      <c r="I43" s="1363"/>
      <c r="J43" s="1085">
        <v>948</v>
      </c>
      <c r="K43" s="1085">
        <f>1187-200</f>
        <v>987</v>
      </c>
    </row>
    <row r="44" spans="1:15" s="14" customFormat="1" ht="14.4" x14ac:dyDescent="0.25">
      <c r="A44" s="142"/>
      <c r="B44" s="142"/>
      <c r="C44" s="955"/>
      <c r="D44" s="955" t="s">
        <v>362</v>
      </c>
      <c r="E44" s="955"/>
      <c r="F44" s="955"/>
      <c r="G44" s="955"/>
      <c r="H44" s="955"/>
      <c r="I44" s="1363"/>
      <c r="J44" s="1085">
        <v>8.3559999999999999</v>
      </c>
      <c r="K44" s="1085">
        <v>4.41</v>
      </c>
    </row>
    <row r="45" spans="1:15" s="14" customFormat="1" ht="14.4" x14ac:dyDescent="0.25">
      <c r="A45" s="142"/>
      <c r="B45" s="142"/>
      <c r="C45" s="955"/>
      <c r="D45" s="955" t="s">
        <v>363</v>
      </c>
      <c r="E45" s="955"/>
      <c r="F45" s="955"/>
      <c r="G45" s="955"/>
      <c r="H45" s="955"/>
      <c r="I45" s="1363"/>
      <c r="J45" s="1445">
        <f>SUM(J40:J44)</f>
        <v>6808.3559999999998</v>
      </c>
      <c r="K45" s="1445">
        <f>SUM(K40:K44)</f>
        <v>4690.41</v>
      </c>
    </row>
    <row r="46" spans="1:15" s="14" customFormat="1" ht="6" customHeight="1" x14ac:dyDescent="0.25">
      <c r="A46" s="254"/>
      <c r="B46" s="254"/>
      <c r="C46" s="1363"/>
      <c r="D46" s="1289"/>
      <c r="E46" s="955"/>
      <c r="F46" s="955"/>
      <c r="G46" s="955"/>
      <c r="H46" s="955"/>
      <c r="I46" s="955"/>
      <c r="J46" s="955"/>
      <c r="K46" s="1363"/>
    </row>
    <row r="47" spans="1:15" s="14" customFormat="1" ht="14.4" x14ac:dyDescent="0.25">
      <c r="A47" s="142"/>
      <c r="B47" s="142"/>
      <c r="C47" s="1363"/>
      <c r="D47" s="1446" t="s">
        <v>364</v>
      </c>
      <c r="E47" s="1363"/>
      <c r="F47" s="1363"/>
      <c r="G47" s="1363"/>
      <c r="H47" s="1363"/>
      <c r="I47" s="1363"/>
      <c r="J47" s="1363"/>
      <c r="K47" s="1363"/>
    </row>
    <row r="48" spans="1:15" s="14" customFormat="1" ht="57" customHeight="1" x14ac:dyDescent="0.25">
      <c r="A48" s="142"/>
      <c r="B48" s="142"/>
      <c r="C48" s="1363"/>
      <c r="D48" s="2138" t="s">
        <v>1959</v>
      </c>
      <c r="E48" s="2138"/>
      <c r="F48" s="2138"/>
      <c r="G48" s="2138"/>
      <c r="H48" s="2138"/>
      <c r="I48" s="2138"/>
      <c r="J48" s="2138"/>
      <c r="K48" s="2138"/>
      <c r="L48" s="313" t="s">
        <v>791</v>
      </c>
    </row>
    <row r="49" spans="1:11" s="14" customFormat="1" ht="6" customHeight="1" x14ac:dyDescent="0.25">
      <c r="A49" s="142"/>
      <c r="B49" s="142"/>
      <c r="C49" s="1363"/>
      <c r="D49" s="955"/>
      <c r="E49" s="955"/>
      <c r="F49" s="955"/>
      <c r="G49" s="955"/>
      <c r="H49" s="955"/>
      <c r="I49" s="955"/>
      <c r="J49" s="955"/>
      <c r="K49" s="1363"/>
    </row>
    <row r="50" spans="1:11" s="14" customFormat="1" ht="16.5" customHeight="1" x14ac:dyDescent="0.25">
      <c r="A50" s="142"/>
      <c r="B50" s="142"/>
      <c r="C50" s="955"/>
      <c r="D50" s="1014" t="s">
        <v>365</v>
      </c>
      <c r="E50" s="1014"/>
      <c r="F50" s="1014"/>
      <c r="G50" s="1014"/>
      <c r="H50" s="1014"/>
      <c r="I50" s="1014"/>
      <c r="J50" s="1014"/>
      <c r="K50" s="1363"/>
    </row>
    <row r="51" spans="1:11" s="14" customFormat="1" ht="14.4" x14ac:dyDescent="0.25">
      <c r="A51" s="142"/>
      <c r="B51" s="142"/>
      <c r="C51" s="955"/>
      <c r="D51" s="955"/>
      <c r="E51" s="955"/>
      <c r="F51" s="955"/>
      <c r="G51" s="955"/>
      <c r="H51" s="1363"/>
      <c r="I51" s="1363"/>
      <c r="J51" s="1444">
        <f>J38</f>
        <v>2024</v>
      </c>
      <c r="K51" s="1444">
        <f>K38</f>
        <v>2023</v>
      </c>
    </row>
    <row r="52" spans="1:11" s="14" customFormat="1" ht="14.4" x14ac:dyDescent="0.25">
      <c r="A52" s="142"/>
      <c r="B52" s="142"/>
      <c r="C52" s="955"/>
      <c r="D52" s="955"/>
      <c r="E52" s="955"/>
      <c r="F52" s="955"/>
      <c r="G52" s="955"/>
      <c r="H52" s="1363"/>
      <c r="I52" s="1363"/>
      <c r="J52" s="1328" t="s">
        <v>60</v>
      </c>
      <c r="K52" s="1328" t="s">
        <v>60</v>
      </c>
    </row>
    <row r="53" spans="1:11" s="14" customFormat="1" ht="14.4" x14ac:dyDescent="0.25">
      <c r="A53" s="142"/>
      <c r="B53" s="142"/>
      <c r="C53" s="955"/>
      <c r="D53" s="955" t="s">
        <v>358</v>
      </c>
      <c r="E53" s="955"/>
      <c r="F53" s="955"/>
      <c r="G53" s="955"/>
      <c r="H53" s="1363"/>
      <c r="I53" s="1363"/>
      <c r="J53" s="1085">
        <v>0</v>
      </c>
      <c r="K53" s="1085">
        <v>0</v>
      </c>
    </row>
    <row r="54" spans="1:11" s="14" customFormat="1" ht="14.4" x14ac:dyDescent="0.25">
      <c r="A54" s="142"/>
      <c r="B54" s="142"/>
      <c r="C54" s="955"/>
      <c r="D54" s="955" t="s">
        <v>359</v>
      </c>
      <c r="E54" s="955"/>
      <c r="F54" s="955"/>
      <c r="G54" s="955"/>
      <c r="H54" s="1363"/>
      <c r="I54" s="1363"/>
      <c r="J54" s="1085">
        <v>0</v>
      </c>
      <c r="K54" s="1085">
        <v>0</v>
      </c>
    </row>
    <row r="55" spans="1:11" s="14" customFormat="1" ht="14.4" x14ac:dyDescent="0.25">
      <c r="A55" s="142"/>
      <c r="B55" s="142"/>
      <c r="C55" s="955"/>
      <c r="D55" s="1363" t="s">
        <v>360</v>
      </c>
      <c r="E55" s="1363"/>
      <c r="F55" s="1363"/>
      <c r="G55" s="1363"/>
      <c r="H55" s="1363"/>
      <c r="I55" s="1363"/>
      <c r="J55" s="1447">
        <v>9</v>
      </c>
      <c r="K55" s="1447">
        <v>12</v>
      </c>
    </row>
    <row r="56" spans="1:11" s="14" customFormat="1" ht="14.4" x14ac:dyDescent="0.25">
      <c r="A56" s="142"/>
      <c r="B56" s="142"/>
      <c r="C56" s="955"/>
      <c r="D56" s="1363" t="s">
        <v>361</v>
      </c>
      <c r="E56" s="1363"/>
      <c r="F56" s="1363"/>
      <c r="G56" s="1363"/>
      <c r="H56" s="1363"/>
      <c r="I56" s="1363"/>
      <c r="J56" s="1447">
        <v>3</v>
      </c>
      <c r="K56" s="1447">
        <v>6</v>
      </c>
    </row>
    <row r="57" spans="1:11" s="14" customFormat="1" ht="14.4" x14ac:dyDescent="0.25">
      <c r="A57" s="142"/>
      <c r="B57" s="142"/>
      <c r="C57" s="955"/>
      <c r="D57" s="1363" t="s">
        <v>362</v>
      </c>
      <c r="E57" s="1363"/>
      <c r="F57" s="1363"/>
      <c r="G57" s="1363"/>
      <c r="H57" s="1363"/>
      <c r="I57" s="1363"/>
      <c r="J57" s="1447">
        <v>62</v>
      </c>
      <c r="K57" s="1447">
        <v>30</v>
      </c>
    </row>
    <row r="58" spans="1:11" s="14" customFormat="1" ht="14.4" x14ac:dyDescent="0.25">
      <c r="A58" s="142">
        <v>7</v>
      </c>
      <c r="B58" s="142" t="s">
        <v>236</v>
      </c>
      <c r="C58" s="955"/>
      <c r="D58" s="1363" t="s">
        <v>363</v>
      </c>
      <c r="E58" s="1363"/>
      <c r="F58" s="1363"/>
      <c r="G58" s="1363"/>
      <c r="H58" s="1363"/>
      <c r="I58" s="1363"/>
      <c r="J58" s="1448">
        <v>74</v>
      </c>
      <c r="K58" s="1448">
        <v>48</v>
      </c>
    </row>
    <row r="59" spans="1:11" s="14" customFormat="1" ht="14.4" x14ac:dyDescent="0.25">
      <c r="A59" s="142"/>
      <c r="B59" s="142"/>
      <c r="C59" s="955"/>
      <c r="D59" s="1363"/>
      <c r="E59" s="1363"/>
      <c r="F59" s="1363"/>
      <c r="G59" s="1363"/>
      <c r="H59" s="1447"/>
      <c r="I59" s="1447"/>
      <c r="J59" s="1363"/>
      <c r="K59" s="1363"/>
    </row>
    <row r="60" spans="1:11" s="14" customFormat="1" ht="14.4" x14ac:dyDescent="0.25">
      <c r="A60" s="142"/>
      <c r="B60" s="142"/>
      <c r="C60" s="955"/>
      <c r="D60" s="957" t="s">
        <v>2025</v>
      </c>
      <c r="E60" s="1363"/>
      <c r="F60" s="1363"/>
      <c r="G60" s="1363"/>
      <c r="H60" s="1447"/>
      <c r="I60" s="1363"/>
      <c r="J60" s="1363"/>
      <c r="K60" s="1363"/>
    </row>
    <row r="61" spans="1:11" s="14" customFormat="1" ht="19.5" customHeight="1" x14ac:dyDescent="0.25">
      <c r="A61" s="142"/>
      <c r="B61" s="142"/>
      <c r="C61" s="1363"/>
      <c r="D61" s="1363" t="s">
        <v>366</v>
      </c>
      <c r="E61" s="1363"/>
      <c r="F61" s="1363"/>
      <c r="G61" s="1363"/>
      <c r="H61" s="1363"/>
      <c r="I61" s="1363"/>
      <c r="J61" s="1363"/>
      <c r="K61" s="1363"/>
    </row>
    <row r="62" spans="1:11" s="14" customFormat="1" ht="14.4" x14ac:dyDescent="0.25">
      <c r="A62" s="142"/>
      <c r="B62" s="142"/>
      <c r="C62" s="1363"/>
      <c r="D62" s="1363" t="s">
        <v>367</v>
      </c>
      <c r="E62" s="1363"/>
      <c r="F62" s="1363"/>
      <c r="G62" s="1363"/>
      <c r="H62" s="1363"/>
      <c r="I62" s="1363"/>
      <c r="J62" s="1363"/>
      <c r="K62" s="1363"/>
    </row>
    <row r="63" spans="1:11" s="14" customFormat="1" ht="14.4" x14ac:dyDescent="0.25">
      <c r="A63" s="142"/>
      <c r="B63" s="142"/>
      <c r="C63" s="1363"/>
      <c r="D63" s="2302" t="s">
        <v>368</v>
      </c>
      <c r="E63" s="2302"/>
      <c r="F63" s="2302"/>
      <c r="G63" s="2302"/>
      <c r="H63" s="2302"/>
      <c r="I63" s="2302"/>
      <c r="J63" s="2302"/>
      <c r="K63" s="1363"/>
    </row>
    <row r="64" spans="1:11" s="14" customFormat="1" ht="14.4" x14ac:dyDescent="0.25">
      <c r="A64" s="142"/>
      <c r="B64" s="142"/>
      <c r="C64" s="1363"/>
      <c r="D64" s="1363" t="s">
        <v>369</v>
      </c>
      <c r="E64" s="1363"/>
      <c r="F64" s="1363"/>
      <c r="G64" s="1363"/>
      <c r="H64" s="1363"/>
      <c r="I64" s="1363"/>
      <c r="J64" s="1363"/>
      <c r="K64" s="1363"/>
    </row>
    <row r="65" spans="1:20" s="14" customFormat="1" ht="7.5" customHeight="1" x14ac:dyDescent="0.25">
      <c r="A65" s="142"/>
      <c r="B65" s="142"/>
      <c r="C65" s="1363"/>
      <c r="D65" s="1363"/>
      <c r="E65" s="1363"/>
      <c r="F65" s="1363"/>
      <c r="G65" s="1363"/>
      <c r="H65" s="1363"/>
      <c r="I65" s="1363"/>
      <c r="J65" s="1363"/>
      <c r="K65" s="1363"/>
    </row>
    <row r="66" spans="1:20" s="14" customFormat="1" ht="14.4" x14ac:dyDescent="0.25">
      <c r="A66" s="142"/>
      <c r="B66" s="142"/>
      <c r="C66" s="1363"/>
      <c r="D66" s="1363" t="s">
        <v>370</v>
      </c>
      <c r="E66" s="1363"/>
      <c r="F66" s="1363"/>
      <c r="G66" s="1363"/>
      <c r="H66" s="1363"/>
      <c r="I66" s="1363"/>
      <c r="J66" s="1363"/>
      <c r="K66" s="1363"/>
    </row>
    <row r="67" spans="1:20" s="14" customFormat="1" ht="16.5" customHeight="1" x14ac:dyDescent="0.25">
      <c r="A67" s="142"/>
      <c r="B67" s="142"/>
      <c r="C67" s="1363"/>
      <c r="D67" s="1449" t="s">
        <v>371</v>
      </c>
      <c r="E67" s="1450"/>
      <c r="F67" s="1450"/>
      <c r="G67" s="1450"/>
      <c r="H67" s="1450"/>
      <c r="I67" s="1450"/>
      <c r="J67" s="1450"/>
      <c r="K67" s="1363"/>
    </row>
    <row r="68" spans="1:20" s="14" customFormat="1" ht="16.5" customHeight="1" x14ac:dyDescent="0.25">
      <c r="A68" s="142"/>
      <c r="B68" s="142"/>
      <c r="C68" s="1363"/>
      <c r="D68" s="1449" t="s">
        <v>372</v>
      </c>
      <c r="E68" s="1450"/>
      <c r="F68" s="1450"/>
      <c r="G68" s="1450"/>
      <c r="H68" s="1450"/>
      <c r="I68" s="1450"/>
      <c r="J68" s="1450"/>
      <c r="K68" s="1363"/>
    </row>
    <row r="69" spans="1:20" s="14" customFormat="1" ht="16.5" customHeight="1" x14ac:dyDescent="0.25">
      <c r="A69" s="142"/>
      <c r="B69" s="142"/>
      <c r="C69" s="1363"/>
      <c r="D69" s="1449" t="s">
        <v>500</v>
      </c>
      <c r="E69" s="1450"/>
      <c r="F69" s="1450"/>
      <c r="G69" s="1450"/>
      <c r="H69" s="1450"/>
      <c r="I69" s="1450"/>
      <c r="J69" s="1450"/>
      <c r="K69" s="1363"/>
    </row>
    <row r="70" spans="1:20" s="14" customFormat="1" ht="16.5" customHeight="1" x14ac:dyDescent="0.25">
      <c r="A70" s="142"/>
      <c r="B70" s="142"/>
      <c r="C70" s="1363"/>
      <c r="D70" s="1449" t="s">
        <v>501</v>
      </c>
      <c r="E70" s="1450"/>
      <c r="F70" s="1450"/>
      <c r="G70" s="1450"/>
      <c r="H70" s="1450"/>
      <c r="I70" s="1450"/>
      <c r="J70" s="1450"/>
      <c r="K70" s="1363"/>
    </row>
    <row r="71" spans="1:20" s="14" customFormat="1" ht="32.25" customHeight="1" x14ac:dyDescent="0.25">
      <c r="A71" s="142"/>
      <c r="B71" s="142"/>
      <c r="C71" s="1363"/>
      <c r="D71" s="2266" t="s">
        <v>502</v>
      </c>
      <c r="E71" s="2266"/>
      <c r="F71" s="2266"/>
      <c r="G71" s="2266"/>
      <c r="H71" s="2266"/>
      <c r="I71" s="2266"/>
      <c r="J71" s="2266"/>
      <c r="K71" s="2266"/>
    </row>
    <row r="72" spans="1:20" s="14" customFormat="1" ht="6.75" customHeight="1" x14ac:dyDescent="0.25">
      <c r="A72" s="142"/>
      <c r="B72" s="142"/>
      <c r="C72" s="1363"/>
      <c r="D72" s="1363"/>
      <c r="E72" s="1363"/>
      <c r="F72" s="1363"/>
      <c r="G72" s="1363"/>
      <c r="H72" s="1363"/>
      <c r="I72" s="1363"/>
      <c r="J72" s="1363"/>
      <c r="K72" s="1363"/>
    </row>
    <row r="73" spans="1:20" s="14" customFormat="1" ht="14.4" x14ac:dyDescent="0.25">
      <c r="A73" s="142"/>
      <c r="B73" s="142"/>
      <c r="C73" s="1363"/>
      <c r="D73" s="1034" t="s">
        <v>1176</v>
      </c>
      <c r="E73" s="1034"/>
      <c r="F73" s="1034"/>
      <c r="G73" s="1034"/>
      <c r="H73" s="1034"/>
      <c r="I73" s="1034"/>
      <c r="J73" s="1034"/>
      <c r="K73" s="1363"/>
    </row>
    <row r="74" spans="1:20" s="14" customFormat="1" ht="6.75" customHeight="1" x14ac:dyDescent="0.25">
      <c r="A74" s="142"/>
      <c r="B74" s="142"/>
      <c r="C74" s="1363"/>
      <c r="D74" s="1363"/>
      <c r="E74" s="1363"/>
      <c r="F74" s="1363"/>
      <c r="G74" s="1363"/>
      <c r="H74" s="1363"/>
      <c r="I74" s="1363"/>
      <c r="J74" s="1363"/>
      <c r="K74" s="1363"/>
    </row>
    <row r="75" spans="1:20" s="14" customFormat="1" ht="14.4" x14ac:dyDescent="0.25">
      <c r="A75" s="254"/>
      <c r="B75" s="254"/>
      <c r="C75" s="1363"/>
      <c r="D75" s="1446" t="str">
        <f>D34</f>
        <v>Note 9.11  Financial Instruments (Continued)</v>
      </c>
      <c r="E75" s="1363"/>
      <c r="F75" s="1363"/>
      <c r="G75" s="1363"/>
      <c r="H75" s="1363"/>
      <c r="I75" s="1363"/>
      <c r="J75" s="1363"/>
      <c r="K75" s="1363"/>
      <c r="L75" s="312" t="s">
        <v>2052</v>
      </c>
    </row>
    <row r="76" spans="1:20" s="14" customFormat="1" ht="12.75" customHeight="1" x14ac:dyDescent="0.25">
      <c r="A76" s="254"/>
      <c r="B76" s="254"/>
      <c r="C76" s="1363"/>
      <c r="D76" s="1446"/>
      <c r="E76" s="1363"/>
      <c r="F76" s="1363"/>
      <c r="G76" s="1363"/>
      <c r="H76" s="1363"/>
      <c r="I76" s="1363"/>
      <c r="J76" s="1363"/>
      <c r="K76" s="1363"/>
    </row>
    <row r="77" spans="1:20" s="14" customFormat="1" ht="14.4" x14ac:dyDescent="0.25">
      <c r="A77" s="142">
        <v>7</v>
      </c>
      <c r="B77" s="142" t="s">
        <v>1594</v>
      </c>
      <c r="C77" s="1364"/>
      <c r="D77" s="2281" t="str">
        <f>"The table below lists the contractual maturities for non-lease Financial Liabilities. For lease liabilities refer to note "&amp;'Note 6 to 8'!E203&amp;"."</f>
        <v>The table below lists the contractual maturities for non-lease Financial Liabilities. For lease liabilities refer to note 7.4.</v>
      </c>
      <c r="E77" s="2281"/>
      <c r="F77" s="2281"/>
      <c r="G77" s="2281"/>
      <c r="H77" s="2281"/>
      <c r="I77" s="2281"/>
      <c r="J77" s="2281"/>
      <c r="K77" s="1363"/>
    </row>
    <row r="78" spans="1:20" s="14" customFormat="1" ht="14.4" x14ac:dyDescent="0.25">
      <c r="A78" s="142"/>
      <c r="B78" s="142"/>
      <c r="C78" s="1363"/>
      <c r="D78" s="2281" t="s">
        <v>799</v>
      </c>
      <c r="E78" s="2281"/>
      <c r="F78" s="2281"/>
      <c r="G78" s="2281"/>
      <c r="H78" s="2281"/>
      <c r="I78" s="2281"/>
      <c r="J78" s="2281"/>
      <c r="K78" s="1363"/>
      <c r="L78" s="311"/>
      <c r="N78" s="2301"/>
      <c r="O78" s="2301"/>
      <c r="P78" s="2301"/>
      <c r="Q78" s="2301"/>
      <c r="R78" s="2301"/>
      <c r="S78" s="2301"/>
      <c r="T78" s="2301"/>
    </row>
    <row r="79" spans="1:20" s="14" customFormat="1" ht="6" customHeight="1" x14ac:dyDescent="0.25">
      <c r="A79" s="142"/>
      <c r="B79" s="142"/>
      <c r="C79" s="1363"/>
      <c r="D79" s="952"/>
      <c r="E79" s="952"/>
      <c r="F79" s="952"/>
      <c r="G79" s="952"/>
      <c r="H79" s="952"/>
      <c r="I79" s="952"/>
      <c r="J79" s="952"/>
      <c r="K79" s="1415"/>
    </row>
    <row r="80" spans="1:20" s="14" customFormat="1" ht="14.4" x14ac:dyDescent="0.25">
      <c r="A80" s="142"/>
      <c r="B80" s="142"/>
      <c r="C80" s="1363"/>
      <c r="D80" s="1268">
        <f>+'Merge Details_Printing instr'!A19</f>
        <v>2024</v>
      </c>
      <c r="E80" s="1255" t="s">
        <v>503</v>
      </c>
      <c r="F80" s="1255" t="s">
        <v>504</v>
      </c>
      <c r="G80" s="1255" t="s">
        <v>505</v>
      </c>
      <c r="H80" s="1255" t="s">
        <v>506</v>
      </c>
      <c r="I80" s="1255" t="s">
        <v>507</v>
      </c>
      <c r="J80" s="1255" t="s">
        <v>508</v>
      </c>
      <c r="K80" s="1227" t="s">
        <v>509</v>
      </c>
      <c r="L80" s="614"/>
    </row>
    <row r="81" spans="1:11" s="14" customFormat="1" ht="18" customHeight="1" x14ac:dyDescent="0.25">
      <c r="A81" s="142"/>
      <c r="B81" s="142"/>
      <c r="C81" s="1363"/>
      <c r="D81" s="992"/>
      <c r="E81" s="1255" t="s">
        <v>510</v>
      </c>
      <c r="F81" s="1255" t="s">
        <v>511</v>
      </c>
      <c r="G81" s="1255" t="s">
        <v>512</v>
      </c>
      <c r="H81" s="1255" t="s">
        <v>512</v>
      </c>
      <c r="I81" s="1255" t="s">
        <v>512</v>
      </c>
      <c r="J81" s="1255" t="s">
        <v>513</v>
      </c>
      <c r="K81" s="1227" t="s">
        <v>514</v>
      </c>
    </row>
    <row r="82" spans="1:11" s="14" customFormat="1" ht="14.4" x14ac:dyDescent="0.25">
      <c r="A82" s="142"/>
      <c r="B82" s="142"/>
      <c r="C82" s="1363"/>
      <c r="D82" s="992"/>
      <c r="E82" s="1255" t="s">
        <v>60</v>
      </c>
      <c r="F82" s="1255" t="s">
        <v>60</v>
      </c>
      <c r="G82" s="1255" t="s">
        <v>60</v>
      </c>
      <c r="H82" s="1255" t="s">
        <v>60</v>
      </c>
      <c r="I82" s="1255" t="s">
        <v>60</v>
      </c>
      <c r="J82" s="1255" t="s">
        <v>60</v>
      </c>
      <c r="K82" s="1227" t="s">
        <v>60</v>
      </c>
    </row>
    <row r="83" spans="1:11" s="14" customFormat="1" ht="14.4" x14ac:dyDescent="0.25">
      <c r="A83" s="142"/>
      <c r="B83" s="142"/>
      <c r="C83" s="1363"/>
      <c r="D83" s="1252" t="s">
        <v>240</v>
      </c>
      <c r="E83" s="1451">
        <v>5292</v>
      </c>
      <c r="F83" s="1451">
        <v>0</v>
      </c>
      <c r="G83" s="1451">
        <v>0</v>
      </c>
      <c r="H83" s="1451">
        <v>0</v>
      </c>
      <c r="I83" s="1451">
        <v>0</v>
      </c>
      <c r="J83" s="1451">
        <v>5292</v>
      </c>
      <c r="K83" s="1451">
        <v>5292</v>
      </c>
    </row>
    <row r="84" spans="1:11" s="14" customFormat="1" ht="14.4" x14ac:dyDescent="0.25">
      <c r="A84" s="142"/>
      <c r="B84" s="142"/>
      <c r="C84" s="1363"/>
      <c r="D84" s="1252" t="s">
        <v>29</v>
      </c>
      <c r="E84" s="1451">
        <v>725</v>
      </c>
      <c r="F84" s="1451">
        <v>231</v>
      </c>
      <c r="G84" s="1451">
        <v>0</v>
      </c>
      <c r="H84" s="1451">
        <v>0</v>
      </c>
      <c r="I84" s="1451">
        <v>0</v>
      </c>
      <c r="J84" s="1451">
        <v>956</v>
      </c>
      <c r="K84" s="1451">
        <v>956</v>
      </c>
    </row>
    <row r="85" spans="1:11" s="14" customFormat="1" ht="27.6" x14ac:dyDescent="0.25">
      <c r="A85" s="142"/>
      <c r="B85" s="142"/>
      <c r="C85" s="1363"/>
      <c r="D85" s="1252" t="s">
        <v>26</v>
      </c>
      <c r="E85" s="1451">
        <v>581</v>
      </c>
      <c r="F85" s="1451">
        <v>581</v>
      </c>
      <c r="G85" s="1451">
        <v>1161</v>
      </c>
      <c r="H85" s="1451">
        <v>1035</v>
      </c>
      <c r="I85" s="1451">
        <v>0</v>
      </c>
      <c r="J85" s="1451">
        <v>3358</v>
      </c>
      <c r="K85" s="1451">
        <v>3358</v>
      </c>
    </row>
    <row r="86" spans="1:11" s="14" customFormat="1" ht="14.4" x14ac:dyDescent="0.25">
      <c r="A86" s="142"/>
      <c r="B86" s="142"/>
      <c r="C86" s="1363"/>
      <c r="D86" s="1253" t="s">
        <v>539</v>
      </c>
      <c r="E86" s="1452">
        <f t="shared" ref="E86:K86" si="0">SUM(E83:E85)</f>
        <v>6598</v>
      </c>
      <c r="F86" s="1452">
        <f t="shared" si="0"/>
        <v>812</v>
      </c>
      <c r="G86" s="1452">
        <f t="shared" si="0"/>
        <v>1161</v>
      </c>
      <c r="H86" s="1452">
        <f t="shared" si="0"/>
        <v>1035</v>
      </c>
      <c r="I86" s="1452">
        <f t="shared" si="0"/>
        <v>0</v>
      </c>
      <c r="J86" s="1452">
        <f t="shared" si="0"/>
        <v>9606</v>
      </c>
      <c r="K86" s="1452">
        <f t="shared" si="0"/>
        <v>9606</v>
      </c>
    </row>
    <row r="87" spans="1:11" s="14" customFormat="1" ht="14.4" x14ac:dyDescent="0.25">
      <c r="A87" s="142"/>
      <c r="B87" s="142"/>
      <c r="C87" s="1363"/>
      <c r="D87" s="955"/>
      <c r="E87" s="955"/>
      <c r="F87" s="955"/>
      <c r="G87" s="955"/>
      <c r="H87" s="955"/>
      <c r="I87" s="955"/>
      <c r="J87" s="955"/>
      <c r="K87" s="1363"/>
    </row>
    <row r="88" spans="1:11" s="14" customFormat="1" ht="14.4" x14ac:dyDescent="0.25">
      <c r="A88" s="142"/>
      <c r="B88" s="142"/>
      <c r="C88" s="1363"/>
      <c r="D88" s="1268">
        <f>+'Merge Details_Printing instr'!A20</f>
        <v>2023</v>
      </c>
      <c r="E88" s="1255" t="s">
        <v>503</v>
      </c>
      <c r="F88" s="1255" t="s">
        <v>504</v>
      </c>
      <c r="G88" s="1255" t="s">
        <v>505</v>
      </c>
      <c r="H88" s="1255" t="s">
        <v>506</v>
      </c>
      <c r="I88" s="1255" t="s">
        <v>507</v>
      </c>
      <c r="J88" s="1255" t="s">
        <v>508</v>
      </c>
      <c r="K88" s="1227" t="s">
        <v>509</v>
      </c>
    </row>
    <row r="89" spans="1:11" s="14" customFormat="1" ht="14.4" x14ac:dyDescent="0.25">
      <c r="A89" s="142"/>
      <c r="B89" s="142"/>
      <c r="C89" s="1363"/>
      <c r="D89" s="1255"/>
      <c r="E89" s="1255" t="s">
        <v>510</v>
      </c>
      <c r="F89" s="1255" t="s">
        <v>511</v>
      </c>
      <c r="G89" s="1255" t="s">
        <v>512</v>
      </c>
      <c r="H89" s="1255" t="s">
        <v>512</v>
      </c>
      <c r="I89" s="1255" t="s">
        <v>512</v>
      </c>
      <c r="J89" s="1255" t="s">
        <v>513</v>
      </c>
      <c r="K89" s="1227" t="s">
        <v>514</v>
      </c>
    </row>
    <row r="90" spans="1:11" s="14" customFormat="1" ht="14.4" x14ac:dyDescent="0.25">
      <c r="A90" s="142"/>
      <c r="B90" s="142"/>
      <c r="C90" s="1363"/>
      <c r="D90" s="1255"/>
      <c r="E90" s="1255" t="s">
        <v>60</v>
      </c>
      <c r="F90" s="1255" t="s">
        <v>60</v>
      </c>
      <c r="G90" s="1255" t="s">
        <v>60</v>
      </c>
      <c r="H90" s="1255" t="s">
        <v>60</v>
      </c>
      <c r="I90" s="1255" t="s">
        <v>60</v>
      </c>
      <c r="J90" s="1255" t="s">
        <v>60</v>
      </c>
      <c r="K90" s="1227" t="s">
        <v>60</v>
      </c>
    </row>
    <row r="91" spans="1:11" s="14" customFormat="1" ht="14.4" x14ac:dyDescent="0.25">
      <c r="A91" s="142"/>
      <c r="B91" s="142"/>
      <c r="C91" s="1363"/>
      <c r="D91" s="1453" t="s">
        <v>240</v>
      </c>
      <c r="E91" s="1451">
        <v>5168</v>
      </c>
      <c r="F91" s="1451">
        <v>0</v>
      </c>
      <c r="G91" s="1451">
        <v>0</v>
      </c>
      <c r="H91" s="1451">
        <v>0</v>
      </c>
      <c r="I91" s="1451">
        <v>5168</v>
      </c>
      <c r="J91" s="1451">
        <v>5168</v>
      </c>
      <c r="K91" s="1451">
        <v>5168</v>
      </c>
    </row>
    <row r="92" spans="1:11" s="14" customFormat="1" ht="14.4" x14ac:dyDescent="0.25">
      <c r="A92" s="142"/>
      <c r="B92" s="142"/>
      <c r="C92" s="1363"/>
      <c r="D92" s="1453" t="s">
        <v>29</v>
      </c>
      <c r="E92" s="1451">
        <v>329</v>
      </c>
      <c r="F92" s="1451">
        <v>245</v>
      </c>
      <c r="G92" s="1451">
        <v>0</v>
      </c>
      <c r="H92" s="1451">
        <v>0</v>
      </c>
      <c r="I92" s="1451">
        <v>574</v>
      </c>
      <c r="J92" s="1451">
        <v>574</v>
      </c>
      <c r="K92" s="1451">
        <v>574</v>
      </c>
    </row>
    <row r="93" spans="1:11" s="14" customFormat="1" ht="27.6" x14ac:dyDescent="0.25">
      <c r="A93" s="142"/>
      <c r="B93" s="142"/>
      <c r="C93" s="1363"/>
      <c r="D93" s="1453" t="s">
        <v>26</v>
      </c>
      <c r="E93" s="1451">
        <v>1352</v>
      </c>
      <c r="F93" s="1451">
        <v>1352</v>
      </c>
      <c r="G93" s="1451">
        <v>1161</v>
      </c>
      <c r="H93" s="1451">
        <v>2183</v>
      </c>
      <c r="I93" s="1451">
        <v>0</v>
      </c>
      <c r="J93" s="1451">
        <v>6048</v>
      </c>
      <c r="K93" s="1451">
        <v>6048</v>
      </c>
    </row>
    <row r="94" spans="1:11" s="14" customFormat="1" ht="14.4" x14ac:dyDescent="0.25">
      <c r="A94" s="142"/>
      <c r="B94" s="142"/>
      <c r="C94" s="1363"/>
      <c r="D94" s="1454" t="s">
        <v>539</v>
      </c>
      <c r="E94" s="1452">
        <v>6849</v>
      </c>
      <c r="F94" s="1452">
        <v>1597</v>
      </c>
      <c r="G94" s="1452">
        <v>1161</v>
      </c>
      <c r="H94" s="1452">
        <v>2183</v>
      </c>
      <c r="I94" s="1452">
        <v>11790</v>
      </c>
      <c r="J94" s="1452">
        <v>11790</v>
      </c>
      <c r="K94" s="1452">
        <v>11790</v>
      </c>
    </row>
    <row r="95" spans="1:11" s="14" customFormat="1" ht="14.4" x14ac:dyDescent="0.25">
      <c r="A95" s="142"/>
      <c r="B95" s="142"/>
      <c r="C95" s="1363"/>
      <c r="D95" s="1363"/>
      <c r="E95" s="1363"/>
      <c r="F95" s="1363"/>
      <c r="G95" s="1363"/>
      <c r="H95" s="1363"/>
      <c r="I95" s="1363"/>
      <c r="J95" s="1363"/>
      <c r="K95" s="1363"/>
    </row>
    <row r="96" spans="1:11" s="14" customFormat="1" ht="14.4" x14ac:dyDescent="0.25">
      <c r="A96" s="254"/>
      <c r="B96" s="254"/>
      <c r="C96" s="955"/>
      <c r="D96" s="957" t="s">
        <v>2024</v>
      </c>
      <c r="E96" s="1363"/>
      <c r="F96" s="1363"/>
      <c r="G96" s="1363"/>
      <c r="H96" s="1363"/>
      <c r="I96" s="1363"/>
      <c r="J96" s="1363"/>
      <c r="K96" s="1363"/>
    </row>
    <row r="97" spans="1:12" s="14" customFormat="1" ht="48.75" customHeight="1" x14ac:dyDescent="0.25">
      <c r="A97" s="254"/>
      <c r="B97" s="254"/>
      <c r="C97" s="1363"/>
      <c r="D97" s="2147" t="s">
        <v>1960</v>
      </c>
      <c r="E97" s="2147"/>
      <c r="F97" s="2147"/>
      <c r="G97" s="2147"/>
      <c r="H97" s="2147"/>
      <c r="I97" s="2147"/>
      <c r="J97" s="2147"/>
      <c r="K97" s="2147"/>
    </row>
    <row r="98" spans="1:12" s="14" customFormat="1" ht="10.5" customHeight="1" x14ac:dyDescent="0.25">
      <c r="A98" s="254"/>
      <c r="B98" s="254"/>
      <c r="C98" s="1363"/>
      <c r="D98" s="1446"/>
      <c r="E98" s="1363"/>
      <c r="F98" s="1363"/>
      <c r="G98" s="1363"/>
      <c r="H98" s="1363"/>
      <c r="I98" s="1363"/>
      <c r="J98" s="1363"/>
      <c r="K98" s="1363"/>
    </row>
    <row r="99" spans="1:12" s="14" customFormat="1" ht="14.4" x14ac:dyDescent="0.25">
      <c r="A99" s="254">
        <v>7</v>
      </c>
      <c r="B99" s="254">
        <v>40</v>
      </c>
      <c r="C99" s="1363"/>
      <c r="D99" s="1291" t="s">
        <v>1961</v>
      </c>
      <c r="E99" s="1363"/>
      <c r="F99" s="1363"/>
      <c r="G99" s="1363"/>
      <c r="H99" s="1363"/>
      <c r="I99" s="1363"/>
      <c r="J99" s="1363"/>
      <c r="K99" s="1363"/>
      <c r="L99" s="601"/>
    </row>
    <row r="100" spans="1:12" s="14" customFormat="1" ht="6.75" customHeight="1" x14ac:dyDescent="0.25">
      <c r="A100" s="142"/>
      <c r="B100" s="142"/>
      <c r="C100" s="1363"/>
      <c r="D100" s="1363"/>
      <c r="E100" s="1363"/>
      <c r="F100" s="1363"/>
      <c r="G100" s="1363"/>
      <c r="H100" s="1363"/>
      <c r="I100" s="1363"/>
      <c r="J100" s="1363"/>
      <c r="K100" s="1363"/>
    </row>
    <row r="101" spans="1:12" s="14" customFormat="1" ht="33" customHeight="1" x14ac:dyDescent="0.25">
      <c r="A101" s="142"/>
      <c r="B101" s="142"/>
      <c r="C101" s="1363"/>
      <c r="D101" s="2147" t="s">
        <v>1825</v>
      </c>
      <c r="E101" s="2147"/>
      <c r="F101" s="2147"/>
      <c r="G101" s="2147"/>
      <c r="H101" s="2147"/>
      <c r="I101" s="2147"/>
      <c r="J101" s="2147"/>
      <c r="K101" s="2147"/>
    </row>
    <row r="102" spans="1:12" s="14" customFormat="1" ht="14.4" x14ac:dyDescent="0.25">
      <c r="A102" s="142"/>
      <c r="B102" s="142"/>
      <c r="C102" s="1363"/>
      <c r="D102" s="2280" t="s">
        <v>1824</v>
      </c>
      <c r="E102" s="2280"/>
      <c r="F102" s="2280"/>
      <c r="G102" s="2280"/>
      <c r="H102" s="2280"/>
      <c r="I102" s="2280"/>
      <c r="J102" s="2280"/>
      <c r="K102" s="1363"/>
      <c r="L102" s="601"/>
    </row>
    <row r="103" spans="1:12" s="14" customFormat="1" ht="7.5" customHeight="1" x14ac:dyDescent="0.25">
      <c r="A103" s="254"/>
      <c r="B103" s="254"/>
      <c r="C103" s="1363"/>
      <c r="D103" s="1363"/>
      <c r="E103" s="1363"/>
      <c r="F103" s="1363"/>
      <c r="G103" s="1363"/>
      <c r="H103" s="1363"/>
      <c r="I103" s="1363"/>
      <c r="J103" s="1363"/>
      <c r="K103" s="1363"/>
      <c r="L103" s="601"/>
    </row>
    <row r="104" spans="1:12" s="14" customFormat="1" ht="35.25" customHeight="1" x14ac:dyDescent="0.25">
      <c r="A104" s="142"/>
      <c r="B104" s="142"/>
      <c r="C104" s="1363"/>
      <c r="D104" s="2147" t="s">
        <v>295</v>
      </c>
      <c r="E104" s="2147"/>
      <c r="F104" s="2147"/>
      <c r="G104" s="2147"/>
      <c r="H104" s="2147"/>
      <c r="I104" s="2147"/>
      <c r="J104" s="2147"/>
      <c r="K104" s="2147"/>
    </row>
    <row r="105" spans="1:12" s="14" customFormat="1" ht="9" customHeight="1" x14ac:dyDescent="0.25">
      <c r="A105" s="142"/>
      <c r="B105" s="142"/>
      <c r="C105" s="1363"/>
      <c r="D105" s="955"/>
      <c r="E105" s="955"/>
      <c r="F105" s="955"/>
      <c r="G105" s="955"/>
      <c r="H105" s="955"/>
      <c r="I105" s="955"/>
      <c r="J105" s="955"/>
      <c r="K105" s="1415"/>
      <c r="L105" s="115"/>
    </row>
    <row r="106" spans="1:12" s="14" customFormat="1" ht="14.4" x14ac:dyDescent="0.25">
      <c r="A106" s="142"/>
      <c r="B106" s="142"/>
      <c r="C106" s="1363"/>
      <c r="D106" s="952"/>
      <c r="E106" s="952"/>
      <c r="F106" s="1455"/>
      <c r="G106" s="2289" t="s">
        <v>140</v>
      </c>
      <c r="H106" s="2290"/>
      <c r="I106" s="2290"/>
      <c r="J106" s="2291"/>
      <c r="K106" s="1415"/>
      <c r="L106" s="614"/>
    </row>
    <row r="107" spans="1:12" s="14" customFormat="1" ht="44.25" customHeight="1" x14ac:dyDescent="0.25">
      <c r="A107" s="142"/>
      <c r="B107" s="142"/>
      <c r="C107" s="1363"/>
      <c r="D107" s="2292"/>
      <c r="E107" s="2292"/>
      <c r="F107" s="1456"/>
      <c r="G107" s="2293" t="s">
        <v>1883</v>
      </c>
      <c r="H107" s="2294"/>
      <c r="I107" s="2295" t="s">
        <v>800</v>
      </c>
      <c r="J107" s="2296"/>
      <c r="K107" s="1457"/>
      <c r="L107" s="311"/>
    </row>
    <row r="108" spans="1:12" s="14" customFormat="1" ht="14.4" x14ac:dyDescent="0.25">
      <c r="A108" s="142"/>
      <c r="B108" s="142"/>
      <c r="C108" s="1363"/>
      <c r="D108" s="952"/>
      <c r="E108" s="952"/>
      <c r="F108" s="1455"/>
      <c r="G108" s="2287" t="s">
        <v>1736</v>
      </c>
      <c r="H108" s="2288"/>
      <c r="I108" s="2287" t="s">
        <v>1445</v>
      </c>
      <c r="J108" s="2288"/>
      <c r="K108" s="1363"/>
    </row>
    <row r="109" spans="1:12" s="14" customFormat="1" ht="14.4" x14ac:dyDescent="0.25">
      <c r="A109" s="142"/>
      <c r="B109" s="142"/>
      <c r="C109" s="1363"/>
      <c r="D109" s="952"/>
      <c r="E109" s="952"/>
      <c r="F109" s="1455"/>
      <c r="G109" s="1352" t="s">
        <v>56</v>
      </c>
      <c r="H109" s="1458" t="s">
        <v>157</v>
      </c>
      <c r="I109" s="1459" t="s">
        <v>56</v>
      </c>
      <c r="J109" s="1458" t="s">
        <v>157</v>
      </c>
      <c r="K109" s="1363"/>
    </row>
    <row r="110" spans="1:12" s="14" customFormat="1" ht="14.4" x14ac:dyDescent="0.25">
      <c r="A110" s="142"/>
      <c r="B110" s="142"/>
      <c r="C110" s="1363"/>
      <c r="D110" s="1460">
        <f>+'Merge Details_Printing instr'!A19</f>
        <v>2024</v>
      </c>
      <c r="E110" s="1461"/>
      <c r="F110" s="1462" t="s">
        <v>60</v>
      </c>
      <c r="G110" s="1463" t="s">
        <v>60</v>
      </c>
      <c r="H110" s="1462" t="s">
        <v>60</v>
      </c>
      <c r="I110" s="1464" t="s">
        <v>60</v>
      </c>
      <c r="J110" s="1462" t="s">
        <v>60</v>
      </c>
      <c r="K110" s="1363"/>
    </row>
    <row r="111" spans="1:12" s="14" customFormat="1" ht="14.4" x14ac:dyDescent="0.25">
      <c r="A111" s="142"/>
      <c r="B111" s="142"/>
      <c r="C111" s="1363"/>
      <c r="D111" s="1465" t="s">
        <v>57</v>
      </c>
      <c r="E111" s="1466"/>
      <c r="F111" s="1467"/>
      <c r="G111" s="1468"/>
      <c r="H111" s="1469"/>
      <c r="I111" s="1470"/>
      <c r="J111" s="1469"/>
      <c r="K111" s="1363"/>
    </row>
    <row r="112" spans="1:12" s="14" customFormat="1" ht="14.4" x14ac:dyDescent="0.25">
      <c r="A112" s="142"/>
      <c r="B112" s="142"/>
      <c r="C112" s="1363"/>
      <c r="D112" s="2299" t="s">
        <v>39</v>
      </c>
      <c r="E112" s="2300"/>
      <c r="F112" s="1471">
        <f>'Notes 2 to 5'!K395</f>
        <v>13461</v>
      </c>
      <c r="G112" s="1472">
        <f>F112*-0.01</f>
        <v>-134.61000000000001</v>
      </c>
      <c r="H112" s="1473">
        <f>G112</f>
        <v>-134.61000000000001</v>
      </c>
      <c r="I112" s="1474">
        <f>F112*0.01</f>
        <v>134.61000000000001</v>
      </c>
      <c r="J112" s="1473">
        <f>I112</f>
        <v>134.61000000000001</v>
      </c>
      <c r="K112" s="1363"/>
    </row>
    <row r="113" spans="1:12" s="14" customFormat="1" ht="14.4" x14ac:dyDescent="0.25">
      <c r="A113" s="254"/>
      <c r="B113" s="254"/>
      <c r="C113" s="1363"/>
      <c r="D113" s="1475" t="s">
        <v>1595</v>
      </c>
      <c r="E113" s="1277"/>
      <c r="F113" s="1471">
        <f>'Notes 2 to 5'!K463</f>
        <v>200</v>
      </c>
      <c r="G113" s="1472">
        <f>F113*-0.01</f>
        <v>-2</v>
      </c>
      <c r="H113" s="1473">
        <f>G113</f>
        <v>-2</v>
      </c>
      <c r="I113" s="1474">
        <f>F113*0.01</f>
        <v>2</v>
      </c>
      <c r="J113" s="1473">
        <f>I113</f>
        <v>2</v>
      </c>
      <c r="K113" s="1363"/>
    </row>
    <row r="114" spans="1:12" x14ac:dyDescent="0.25">
      <c r="A114" s="151"/>
      <c r="B114" s="151"/>
      <c r="C114" s="1363"/>
      <c r="D114" s="1476" t="s">
        <v>58</v>
      </c>
      <c r="E114" s="952"/>
      <c r="F114" s="1471"/>
      <c r="G114" s="1472"/>
      <c r="H114" s="1473"/>
      <c r="I114" s="1474"/>
      <c r="J114" s="1473"/>
      <c r="K114" s="1363"/>
    </row>
    <row r="115" spans="1:12" x14ac:dyDescent="0.25">
      <c r="A115" s="151"/>
      <c r="B115" s="151"/>
      <c r="C115" s="1363"/>
      <c r="D115" s="2297" t="s">
        <v>26</v>
      </c>
      <c r="E115" s="2298"/>
      <c r="F115" s="1477">
        <f>'Note 6 to 8'!Q302</f>
        <v>3358</v>
      </c>
      <c r="G115" s="1478">
        <f>F115*-0.01</f>
        <v>-33.58</v>
      </c>
      <c r="H115" s="1479">
        <f>G115</f>
        <v>-33.58</v>
      </c>
      <c r="I115" s="1478">
        <f t="shared" ref="I115" si="1">F115*0.01</f>
        <v>33.58</v>
      </c>
      <c r="J115" s="1479">
        <f>I115</f>
        <v>33.58</v>
      </c>
      <c r="K115" s="1415"/>
    </row>
    <row r="116" spans="1:12" x14ac:dyDescent="0.25">
      <c r="A116" s="151"/>
      <c r="B116" s="151"/>
      <c r="C116" s="1363"/>
      <c r="D116" s="1277"/>
      <c r="E116" s="1277"/>
      <c r="F116" s="1480"/>
      <c r="G116" s="1481"/>
      <c r="H116" s="1481"/>
      <c r="I116" s="1481"/>
      <c r="J116" s="1481"/>
      <c r="K116" s="1415"/>
    </row>
    <row r="117" spans="1:12" s="14" customFormat="1" ht="14.4" x14ac:dyDescent="0.25">
      <c r="A117" s="142"/>
      <c r="B117" s="142"/>
      <c r="C117" s="1363"/>
      <c r="D117" s="952"/>
      <c r="E117" s="952"/>
      <c r="F117" s="1455"/>
      <c r="G117" s="2289" t="s">
        <v>140</v>
      </c>
      <c r="H117" s="2290"/>
      <c r="I117" s="2290"/>
      <c r="J117" s="2291"/>
      <c r="K117" s="1415"/>
    </row>
    <row r="118" spans="1:12" s="14" customFormat="1" ht="44.25" customHeight="1" x14ac:dyDescent="0.25">
      <c r="A118" s="142"/>
      <c r="B118" s="142"/>
      <c r="C118" s="1363"/>
      <c r="D118" s="2292"/>
      <c r="E118" s="2292"/>
      <c r="F118" s="1456"/>
      <c r="G118" s="2293" t="s">
        <v>1883</v>
      </c>
      <c r="H118" s="2294"/>
      <c r="I118" s="2295" t="s">
        <v>800</v>
      </c>
      <c r="J118" s="2296"/>
      <c r="K118" s="1457"/>
      <c r="L118" s="311"/>
    </row>
    <row r="119" spans="1:12" s="14" customFormat="1" ht="14.4" x14ac:dyDescent="0.25">
      <c r="A119" s="142"/>
      <c r="B119" s="142"/>
      <c r="C119" s="1363"/>
      <c r="D119" s="952"/>
      <c r="E119" s="952"/>
      <c r="F119" s="1455"/>
      <c r="G119" s="2287" t="s">
        <v>1736</v>
      </c>
      <c r="H119" s="2288"/>
      <c r="I119" s="2287" t="s">
        <v>1445</v>
      </c>
      <c r="J119" s="2288"/>
      <c r="K119" s="1363"/>
    </row>
    <row r="120" spans="1:12" s="14" customFormat="1" ht="14.4" x14ac:dyDescent="0.25">
      <c r="A120" s="142"/>
      <c r="B120" s="142"/>
      <c r="C120" s="1363"/>
      <c r="D120" s="952"/>
      <c r="E120" s="952"/>
      <c r="F120" s="1455"/>
      <c r="G120" s="1352" t="s">
        <v>56</v>
      </c>
      <c r="H120" s="1458" t="s">
        <v>157</v>
      </c>
      <c r="I120" s="1459" t="s">
        <v>56</v>
      </c>
      <c r="J120" s="1458" t="s">
        <v>157</v>
      </c>
      <c r="K120" s="1363"/>
    </row>
    <row r="121" spans="1:12" s="14" customFormat="1" ht="14.4" x14ac:dyDescent="0.25">
      <c r="A121" s="142"/>
      <c r="B121" s="142"/>
      <c r="C121" s="1363"/>
      <c r="D121" s="1460">
        <f>+'Merge Details_Printing instr'!A20</f>
        <v>2023</v>
      </c>
      <c r="E121" s="1461"/>
      <c r="F121" s="1462" t="s">
        <v>60</v>
      </c>
      <c r="G121" s="1463" t="s">
        <v>60</v>
      </c>
      <c r="H121" s="1462" t="s">
        <v>60</v>
      </c>
      <c r="I121" s="1464" t="s">
        <v>60</v>
      </c>
      <c r="J121" s="1462" t="s">
        <v>60</v>
      </c>
      <c r="K121" s="1363"/>
    </row>
    <row r="122" spans="1:12" s="14" customFormat="1" ht="14.4" x14ac:dyDescent="0.25">
      <c r="A122" s="142"/>
      <c r="B122" s="142"/>
      <c r="C122" s="1363"/>
      <c r="D122" s="1482" t="s">
        <v>57</v>
      </c>
      <c r="E122" s="1483"/>
      <c r="F122" s="1484"/>
      <c r="G122" s="1485"/>
      <c r="H122" s="1486"/>
      <c r="I122" s="1484"/>
      <c r="J122" s="1486"/>
      <c r="K122" s="1363"/>
    </row>
    <row r="123" spans="1:12" s="14" customFormat="1" ht="14.4" x14ac:dyDescent="0.25">
      <c r="A123" s="142"/>
      <c r="B123" s="142"/>
      <c r="C123" s="1363"/>
      <c r="D123" s="2283" t="s">
        <v>39</v>
      </c>
      <c r="E123" s="2284"/>
      <c r="F123" s="1451">
        <f>'Notes 2 to 5'!M395</f>
        <v>14783</v>
      </c>
      <c r="G123" s="1487">
        <f>F123*-0.01</f>
        <v>-147.83000000000001</v>
      </c>
      <c r="H123" s="1471">
        <f>G123</f>
        <v>-147.83000000000001</v>
      </c>
      <c r="I123" s="1451">
        <f>F123*0.01</f>
        <v>147.83000000000001</v>
      </c>
      <c r="J123" s="1471">
        <f>I123</f>
        <v>147.83000000000001</v>
      </c>
      <c r="K123" s="1363"/>
    </row>
    <row r="124" spans="1:12" s="14" customFormat="1" ht="14.4" x14ac:dyDescent="0.25">
      <c r="A124" s="254"/>
      <c r="B124" s="254"/>
      <c r="C124" s="1363"/>
      <c r="D124" s="1475" t="s">
        <v>1595</v>
      </c>
      <c r="E124" s="1457"/>
      <c r="F124" s="1451">
        <f>'Notes 2 to 5'!M463</f>
        <v>196</v>
      </c>
      <c r="G124" s="1487">
        <f>F124*-0.01</f>
        <v>-1.96</v>
      </c>
      <c r="H124" s="1471">
        <f>G124</f>
        <v>-1.96</v>
      </c>
      <c r="I124" s="1451">
        <f t="shared" ref="I124:I126" si="2">F124*0.01</f>
        <v>1.96</v>
      </c>
      <c r="J124" s="1471">
        <f>I124</f>
        <v>1.96</v>
      </c>
      <c r="K124" s="1363"/>
    </row>
    <row r="125" spans="1:12" x14ac:dyDescent="0.25">
      <c r="A125" s="151"/>
      <c r="B125" s="151"/>
      <c r="C125" s="1363"/>
      <c r="D125" s="1488" t="s">
        <v>58</v>
      </c>
      <c r="E125" s="1415"/>
      <c r="F125" s="1451"/>
      <c r="G125" s="1487"/>
      <c r="H125" s="1471"/>
      <c r="I125" s="1451"/>
      <c r="J125" s="1471"/>
      <c r="K125" s="1363"/>
    </row>
    <row r="126" spans="1:12" x14ac:dyDescent="0.25">
      <c r="A126" s="151"/>
      <c r="B126" s="151"/>
      <c r="C126" s="1363"/>
      <c r="D126" s="2285" t="s">
        <v>26</v>
      </c>
      <c r="E126" s="2286"/>
      <c r="F126" s="1489">
        <f>'Note 6 to 8'!S302</f>
        <v>6048</v>
      </c>
      <c r="G126" s="1490">
        <f t="shared" ref="G126" si="3">F126*-0.01</f>
        <v>-60.480000000000004</v>
      </c>
      <c r="H126" s="1477">
        <f>G126</f>
        <v>-60.480000000000004</v>
      </c>
      <c r="I126" s="1490">
        <f t="shared" si="2"/>
        <v>60.480000000000004</v>
      </c>
      <c r="J126" s="1477">
        <f>I126</f>
        <v>60.480000000000004</v>
      </c>
      <c r="K126" s="1415"/>
    </row>
    <row r="127" spans="1:12" x14ac:dyDescent="0.25">
      <c r="A127" s="151"/>
      <c r="B127" s="151"/>
      <c r="C127" s="1363"/>
      <c r="D127" s="1363"/>
      <c r="E127" s="1363"/>
      <c r="F127" s="1363"/>
      <c r="G127" s="1363"/>
      <c r="H127" s="1363"/>
      <c r="I127" s="1363"/>
      <c r="J127" s="1363"/>
      <c r="K127" s="1363"/>
    </row>
    <row r="128" spans="1:12" s="14" customFormat="1" ht="14.4" x14ac:dyDescent="0.25">
      <c r="A128" s="254"/>
      <c r="B128" s="254"/>
      <c r="C128" s="1590"/>
      <c r="D128" s="1431" t="s">
        <v>2026</v>
      </c>
      <c r="E128" s="955"/>
      <c r="F128" s="955"/>
      <c r="G128" s="955"/>
      <c r="H128" s="955"/>
      <c r="I128" s="955"/>
      <c r="J128" s="955"/>
      <c r="K128" s="955"/>
      <c r="L128" s="311"/>
    </row>
    <row r="129" spans="1:12" s="14" customFormat="1" ht="14.4" x14ac:dyDescent="0.25">
      <c r="A129" s="254"/>
      <c r="B129" s="254"/>
      <c r="C129" s="1363"/>
      <c r="D129" s="1014" t="s">
        <v>355</v>
      </c>
      <c r="E129" s="1014"/>
      <c r="F129" s="1014"/>
      <c r="G129" s="1014"/>
      <c r="H129" s="1014"/>
      <c r="I129" s="1014"/>
      <c r="J129" s="1014"/>
      <c r="K129" s="1917"/>
      <c r="L129" s="601"/>
    </row>
    <row r="130" spans="1:12" s="14" customFormat="1" ht="36.75" customHeight="1" x14ac:dyDescent="0.25">
      <c r="A130" s="254"/>
      <c r="B130" s="254"/>
      <c r="C130" s="1363"/>
      <c r="D130" s="957" t="s">
        <v>265</v>
      </c>
      <c r="E130" s="955"/>
      <c r="F130" s="955"/>
      <c r="G130" s="2282" t="s">
        <v>1735</v>
      </c>
      <c r="H130" s="2282"/>
      <c r="I130" s="2282"/>
      <c r="J130" s="2207" t="s">
        <v>106</v>
      </c>
      <c r="K130" s="2207"/>
    </row>
    <row r="131" spans="1:12" s="14" customFormat="1" ht="14.4" x14ac:dyDescent="0.25">
      <c r="A131" s="254"/>
      <c r="B131" s="254"/>
      <c r="C131" s="1363"/>
      <c r="D131" s="955"/>
      <c r="E131" s="955"/>
      <c r="F131" s="955"/>
      <c r="G131" s="955"/>
      <c r="H131" s="1432">
        <v>2024</v>
      </c>
      <c r="I131" s="1432">
        <v>2023</v>
      </c>
      <c r="J131" s="1432">
        <v>2024</v>
      </c>
      <c r="K131" s="1432">
        <v>2023</v>
      </c>
    </row>
    <row r="132" spans="1:12" s="14" customFormat="1" ht="14.4" x14ac:dyDescent="0.25">
      <c r="A132" s="254"/>
      <c r="B132" s="254"/>
      <c r="C132" s="1363"/>
      <c r="D132" s="955"/>
      <c r="E132" s="955"/>
      <c r="F132" s="955"/>
      <c r="G132" s="955"/>
      <c r="H132" s="1433" t="s">
        <v>60</v>
      </c>
      <c r="I132" s="1433" t="s">
        <v>60</v>
      </c>
      <c r="J132" s="1433" t="s">
        <v>60</v>
      </c>
      <c r="K132" s="1433" t="s">
        <v>60</v>
      </c>
      <c r="L132" s="311"/>
    </row>
    <row r="133" spans="1:12" s="14" customFormat="1" ht="14.4" x14ac:dyDescent="0.25">
      <c r="A133" s="254"/>
      <c r="B133" s="254"/>
      <c r="C133" s="1363"/>
      <c r="D133" s="1358" t="s">
        <v>351</v>
      </c>
      <c r="E133" s="955"/>
      <c r="F133" s="955"/>
      <c r="G133" s="955"/>
      <c r="H133" s="955"/>
      <c r="I133" s="955"/>
      <c r="J133" s="955"/>
      <c r="K133" s="955"/>
    </row>
    <row r="134" spans="1:12" s="14" customFormat="1" ht="14.4" x14ac:dyDescent="0.25">
      <c r="A134" s="254"/>
      <c r="B134" s="254"/>
      <c r="C134" s="1363"/>
      <c r="D134" s="955" t="s">
        <v>39</v>
      </c>
      <c r="E134" s="955"/>
      <c r="F134" s="955"/>
      <c r="G134" s="955"/>
      <c r="H134" s="964">
        <v>13461</v>
      </c>
      <c r="I134" s="964">
        <v>14783</v>
      </c>
      <c r="J134" s="964">
        <v>13461</v>
      </c>
      <c r="K134" s="964">
        <v>14783</v>
      </c>
    </row>
    <row r="135" spans="1:12" s="14" customFormat="1" ht="14.4" x14ac:dyDescent="0.25">
      <c r="A135" s="254"/>
      <c r="B135" s="254"/>
      <c r="C135" s="1363"/>
      <c r="D135" s="955" t="s">
        <v>427</v>
      </c>
      <c r="E135" s="955"/>
      <c r="F135" s="955"/>
      <c r="G135" s="955"/>
      <c r="H135" s="964">
        <v>200</v>
      </c>
      <c r="I135" s="964">
        <v>196</v>
      </c>
      <c r="J135" s="964">
        <v>206</v>
      </c>
      <c r="K135" s="964">
        <v>202</v>
      </c>
    </row>
    <row r="136" spans="1:12" s="14" customFormat="1" ht="14.4" x14ac:dyDescent="0.25">
      <c r="A136" s="254"/>
      <c r="B136" s="254"/>
      <c r="C136" s="1363"/>
      <c r="D136" s="955" t="s">
        <v>40</v>
      </c>
      <c r="E136" s="955"/>
      <c r="F136" s="955"/>
      <c r="G136" s="955"/>
      <c r="H136" s="964">
        <v>6808</v>
      </c>
      <c r="I136" s="964">
        <v>4690</v>
      </c>
      <c r="J136" s="964">
        <v>6808</v>
      </c>
      <c r="K136" s="964">
        <v>4690</v>
      </c>
    </row>
    <row r="137" spans="1:12" s="14" customFormat="1" ht="14.4" x14ac:dyDescent="0.25">
      <c r="A137" s="254"/>
      <c r="B137" s="254"/>
      <c r="C137" s="1363"/>
      <c r="D137" s="955" t="s">
        <v>544</v>
      </c>
      <c r="E137" s="955"/>
      <c r="F137" s="955"/>
      <c r="G137" s="955"/>
      <c r="H137" s="964">
        <f>'Notes 2 to 5'!K752</f>
        <v>0</v>
      </c>
      <c r="I137" s="964">
        <f>'Notes 2 to 5'!M752</f>
        <v>0</v>
      </c>
      <c r="J137" s="964">
        <f>H137</f>
        <v>0</v>
      </c>
      <c r="K137" s="964">
        <f>I137</f>
        <v>0</v>
      </c>
    </row>
    <row r="138" spans="1:12" s="14" customFormat="1" ht="14.4" x14ac:dyDescent="0.25">
      <c r="A138" s="254"/>
      <c r="B138" s="254"/>
      <c r="C138" s="1363"/>
      <c r="D138" s="1358" t="s">
        <v>538</v>
      </c>
      <c r="E138" s="955"/>
      <c r="F138" s="955"/>
      <c r="G138" s="955"/>
      <c r="H138" s="1434">
        <f>SUM(H134:H137)</f>
        <v>20469</v>
      </c>
      <c r="I138" s="1434">
        <f t="shared" ref="I138:K138" si="4">SUM(I134:I137)</f>
        <v>19669</v>
      </c>
      <c r="J138" s="1434">
        <f t="shared" si="4"/>
        <v>20475</v>
      </c>
      <c r="K138" s="1434">
        <f t="shared" si="4"/>
        <v>19675</v>
      </c>
    </row>
    <row r="139" spans="1:12" s="14" customFormat="1" ht="14.4" x14ac:dyDescent="0.25">
      <c r="A139" s="254"/>
      <c r="B139" s="254"/>
      <c r="C139" s="1363"/>
      <c r="D139" s="955"/>
      <c r="E139" s="955"/>
      <c r="F139" s="955"/>
      <c r="G139" s="955"/>
      <c r="H139" s="964"/>
      <c r="I139" s="964"/>
      <c r="J139" s="964"/>
      <c r="K139" s="964"/>
    </row>
    <row r="140" spans="1:12" s="14" customFormat="1" ht="14.4" x14ac:dyDescent="0.25">
      <c r="A140" s="254"/>
      <c r="B140" s="254"/>
      <c r="C140" s="1363"/>
      <c r="D140" s="1358" t="s">
        <v>353</v>
      </c>
      <c r="E140" s="955"/>
      <c r="F140" s="955"/>
      <c r="G140" s="955"/>
      <c r="H140" s="964"/>
      <c r="I140" s="964"/>
      <c r="J140" s="964"/>
      <c r="K140" s="964"/>
    </row>
    <row r="141" spans="1:12" s="14" customFormat="1" ht="14.4" x14ac:dyDescent="0.25">
      <c r="A141" s="254"/>
      <c r="B141" s="254"/>
      <c r="C141" s="1363"/>
      <c r="D141" s="955" t="s">
        <v>240</v>
      </c>
      <c r="E141" s="955"/>
      <c r="F141" s="955"/>
      <c r="G141" s="955"/>
      <c r="H141" s="964">
        <v>6218</v>
      </c>
      <c r="I141" s="964">
        <v>5240</v>
      </c>
      <c r="J141" s="964">
        <v>6218</v>
      </c>
      <c r="K141" s="964">
        <v>5240</v>
      </c>
    </row>
    <row r="142" spans="1:12" s="14" customFormat="1" ht="14.4" x14ac:dyDescent="0.25">
      <c r="A142" s="254"/>
      <c r="B142" s="254"/>
      <c r="C142" s="1363"/>
      <c r="D142" s="955" t="s">
        <v>29</v>
      </c>
      <c r="E142" s="955"/>
      <c r="F142" s="955"/>
      <c r="G142" s="955"/>
      <c r="H142" s="964">
        <v>956</v>
      </c>
      <c r="I142" s="964">
        <v>574</v>
      </c>
      <c r="J142" s="964">
        <v>588</v>
      </c>
      <c r="K142" s="964">
        <v>574</v>
      </c>
    </row>
    <row r="143" spans="1:12" s="14" customFormat="1" ht="14.4" x14ac:dyDescent="0.25">
      <c r="A143" s="254"/>
      <c r="B143" s="254"/>
      <c r="C143" s="1363"/>
      <c r="D143" s="955" t="s">
        <v>26</v>
      </c>
      <c r="E143" s="955"/>
      <c r="F143" s="955"/>
      <c r="G143" s="955"/>
      <c r="H143" s="964">
        <v>3358</v>
      </c>
      <c r="I143" s="1394">
        <v>6048</v>
      </c>
      <c r="J143" s="964">
        <v>3814</v>
      </c>
      <c r="K143" s="1394">
        <v>6121</v>
      </c>
    </row>
    <row r="144" spans="1:12" s="14" customFormat="1" ht="14.4" x14ac:dyDescent="0.25">
      <c r="A144" s="254"/>
      <c r="B144" s="254"/>
      <c r="C144" s="1363"/>
      <c r="D144" s="1358" t="s">
        <v>195</v>
      </c>
      <c r="E144" s="955"/>
      <c r="F144" s="955"/>
      <c r="G144" s="955"/>
      <c r="H144" s="1434">
        <f>SUM(H141:H143)</f>
        <v>10532</v>
      </c>
      <c r="I144" s="1434">
        <f t="shared" ref="I144:K144" si="5">SUM(I141:I143)</f>
        <v>11862</v>
      </c>
      <c r="J144" s="1434">
        <f t="shared" si="5"/>
        <v>10620</v>
      </c>
      <c r="K144" s="1434">
        <f t="shared" si="5"/>
        <v>11935</v>
      </c>
    </row>
    <row r="145" spans="1:11" x14ac:dyDescent="0.25">
      <c r="A145" s="239"/>
      <c r="B145" s="239"/>
      <c r="C145" s="1363"/>
      <c r="D145" s="1363"/>
      <c r="E145" s="1363"/>
      <c r="F145" s="1363"/>
      <c r="G145" s="1363"/>
      <c r="H145" s="1363"/>
      <c r="I145" s="1363"/>
      <c r="J145" s="1363"/>
      <c r="K145" s="1363"/>
    </row>
    <row r="146" spans="1:11" x14ac:dyDescent="0.25">
      <c r="A146" s="162"/>
      <c r="B146" s="162"/>
      <c r="C146" s="1363"/>
      <c r="D146" s="1491"/>
      <c r="E146" s="1491"/>
      <c r="F146" s="1491"/>
      <c r="G146" s="1491"/>
      <c r="H146" s="1491"/>
      <c r="I146" s="1491"/>
      <c r="J146" s="1491"/>
      <c r="K146" s="1491"/>
    </row>
    <row r="147" spans="1:11" x14ac:dyDescent="0.25">
      <c r="A147" s="162"/>
      <c r="B147" s="162"/>
    </row>
    <row r="148" spans="1:11" x14ac:dyDescent="0.25">
      <c r="A148" s="162"/>
      <c r="B148" s="162"/>
    </row>
    <row r="149" spans="1:11" x14ac:dyDescent="0.25">
      <c r="A149" s="162"/>
      <c r="B149" s="162"/>
    </row>
    <row r="150" spans="1:11" x14ac:dyDescent="0.25">
      <c r="A150" s="162"/>
      <c r="B150" s="162"/>
    </row>
    <row r="151" spans="1:11" x14ac:dyDescent="0.25">
      <c r="A151" s="162"/>
      <c r="B151" s="162"/>
    </row>
    <row r="152" spans="1:11" x14ac:dyDescent="0.25">
      <c r="A152" s="162"/>
      <c r="B152" s="162"/>
    </row>
    <row r="153" spans="1:11" x14ac:dyDescent="0.25">
      <c r="A153" s="162"/>
      <c r="B153" s="162"/>
    </row>
    <row r="154" spans="1:11" x14ac:dyDescent="0.25">
      <c r="A154" s="162"/>
      <c r="B154" s="162"/>
    </row>
    <row r="155" spans="1:11" x14ac:dyDescent="0.25">
      <c r="A155" s="162"/>
      <c r="B155" s="162"/>
    </row>
    <row r="156" spans="1:11" x14ac:dyDescent="0.25">
      <c r="A156" s="162"/>
      <c r="B156" s="162"/>
    </row>
    <row r="157" spans="1:11" x14ac:dyDescent="0.25">
      <c r="A157" s="162"/>
      <c r="B157" s="162"/>
    </row>
    <row r="158" spans="1:11" x14ac:dyDescent="0.25">
      <c r="A158" s="162"/>
      <c r="B158" s="162"/>
    </row>
    <row r="159" spans="1:11" x14ac:dyDescent="0.25">
      <c r="A159" s="162"/>
      <c r="B159" s="162"/>
    </row>
    <row r="160" spans="1:11" x14ac:dyDescent="0.25">
      <c r="A160" s="162"/>
      <c r="B160" s="162"/>
    </row>
    <row r="161" spans="1:2" x14ac:dyDescent="0.25">
      <c r="A161" s="162"/>
      <c r="B161" s="162"/>
    </row>
    <row r="162" spans="1:2" x14ac:dyDescent="0.25">
      <c r="A162" s="162"/>
      <c r="B162" s="162"/>
    </row>
    <row r="163" spans="1:2" x14ac:dyDescent="0.25">
      <c r="A163" s="162"/>
      <c r="B163" s="162"/>
    </row>
    <row r="164" spans="1:2" x14ac:dyDescent="0.25">
      <c r="A164" s="162"/>
      <c r="B164" s="162"/>
    </row>
    <row r="165" spans="1:2" x14ac:dyDescent="0.25">
      <c r="A165" s="162"/>
      <c r="B165" s="162"/>
    </row>
    <row r="166" spans="1:2" x14ac:dyDescent="0.25">
      <c r="A166" s="162"/>
      <c r="B166" s="162"/>
    </row>
    <row r="167" spans="1:2" x14ac:dyDescent="0.25">
      <c r="A167" s="162"/>
      <c r="B167" s="162"/>
    </row>
    <row r="168" spans="1:2" x14ac:dyDescent="0.25">
      <c r="A168" s="162"/>
      <c r="B168" s="162"/>
    </row>
    <row r="169" spans="1:2" x14ac:dyDescent="0.25">
      <c r="A169" s="162"/>
      <c r="B169" s="162"/>
    </row>
    <row r="170" spans="1:2" x14ac:dyDescent="0.25">
      <c r="A170" s="162"/>
      <c r="B170" s="162"/>
    </row>
    <row r="171" spans="1:2" x14ac:dyDescent="0.25">
      <c r="A171" s="162"/>
      <c r="B171" s="162"/>
    </row>
    <row r="172" spans="1:2" x14ac:dyDescent="0.25">
      <c r="A172" s="162"/>
      <c r="B172" s="162"/>
    </row>
    <row r="173" spans="1:2" x14ac:dyDescent="0.25">
      <c r="A173" s="162"/>
      <c r="B173" s="162"/>
    </row>
    <row r="174" spans="1:2" x14ac:dyDescent="0.25">
      <c r="A174" s="162"/>
      <c r="B174" s="162"/>
    </row>
    <row r="175" spans="1:2" x14ac:dyDescent="0.25">
      <c r="A175" s="162"/>
      <c r="B175" s="162"/>
    </row>
    <row r="176" spans="1:2" x14ac:dyDescent="0.25">
      <c r="A176" s="162"/>
      <c r="B176" s="162"/>
    </row>
    <row r="177" spans="1:2" x14ac:dyDescent="0.25">
      <c r="A177" s="162"/>
      <c r="B177" s="162"/>
    </row>
    <row r="178" spans="1:2" x14ac:dyDescent="0.25">
      <c r="A178" s="162"/>
      <c r="B178" s="162"/>
    </row>
    <row r="179" spans="1:2" x14ac:dyDescent="0.25">
      <c r="A179" s="162"/>
      <c r="B179" s="162"/>
    </row>
    <row r="180" spans="1:2" x14ac:dyDescent="0.25">
      <c r="A180" s="162"/>
      <c r="B180" s="162"/>
    </row>
    <row r="181" spans="1:2" x14ac:dyDescent="0.25">
      <c r="A181" s="162"/>
      <c r="B181" s="162"/>
    </row>
    <row r="182" spans="1:2" x14ac:dyDescent="0.25">
      <c r="A182" s="162"/>
      <c r="B182" s="162"/>
    </row>
    <row r="183" spans="1:2" x14ac:dyDescent="0.25">
      <c r="A183" s="162"/>
      <c r="B183" s="162"/>
    </row>
    <row r="184" spans="1:2" x14ac:dyDescent="0.25">
      <c r="A184" s="162"/>
      <c r="B184" s="162"/>
    </row>
    <row r="185" spans="1:2" x14ac:dyDescent="0.25">
      <c r="A185" s="162"/>
      <c r="B185" s="162"/>
    </row>
    <row r="186" spans="1:2" x14ac:dyDescent="0.25">
      <c r="A186" s="162"/>
      <c r="B186" s="162"/>
    </row>
    <row r="187" spans="1:2" x14ac:dyDescent="0.25">
      <c r="A187" s="162"/>
      <c r="B187" s="162"/>
    </row>
    <row r="188" spans="1:2" x14ac:dyDescent="0.25">
      <c r="A188" s="162"/>
      <c r="B188" s="162"/>
    </row>
    <row r="189" spans="1:2" x14ac:dyDescent="0.25">
      <c r="A189" s="162"/>
      <c r="B189" s="162"/>
    </row>
    <row r="190" spans="1:2" x14ac:dyDescent="0.25">
      <c r="A190" s="162"/>
      <c r="B190" s="162"/>
    </row>
    <row r="191" spans="1:2" x14ac:dyDescent="0.25">
      <c r="A191" s="162"/>
      <c r="B191" s="162"/>
    </row>
    <row r="192" spans="1:2" x14ac:dyDescent="0.25">
      <c r="A192" s="162"/>
      <c r="B192" s="162"/>
    </row>
    <row r="193" spans="1:2" x14ac:dyDescent="0.25">
      <c r="A193" s="162"/>
      <c r="B193" s="162"/>
    </row>
    <row r="194" spans="1:2" x14ac:dyDescent="0.25">
      <c r="A194" s="162"/>
      <c r="B194" s="162"/>
    </row>
    <row r="195" spans="1:2" x14ac:dyDescent="0.25">
      <c r="A195" s="162"/>
      <c r="B195" s="162"/>
    </row>
    <row r="196" spans="1:2" x14ac:dyDescent="0.25">
      <c r="A196" s="162"/>
      <c r="B196" s="162"/>
    </row>
    <row r="197" spans="1:2" x14ac:dyDescent="0.25">
      <c r="A197" s="162"/>
      <c r="B197" s="162"/>
    </row>
    <row r="198" spans="1:2" x14ac:dyDescent="0.25">
      <c r="A198" s="162"/>
      <c r="B198" s="162"/>
    </row>
    <row r="199" spans="1:2" x14ac:dyDescent="0.25">
      <c r="A199" s="162"/>
      <c r="B199" s="162"/>
    </row>
    <row r="200" spans="1:2" x14ac:dyDescent="0.25">
      <c r="A200" s="162"/>
      <c r="B200" s="162"/>
    </row>
    <row r="201" spans="1:2" x14ac:dyDescent="0.25">
      <c r="A201" s="162"/>
      <c r="B201" s="162"/>
    </row>
    <row r="202" spans="1:2" x14ac:dyDescent="0.25">
      <c r="A202" s="162"/>
      <c r="B202" s="162"/>
    </row>
    <row r="203" spans="1:2" x14ac:dyDescent="0.25">
      <c r="A203" s="162"/>
      <c r="B203" s="162"/>
    </row>
    <row r="204" spans="1:2" x14ac:dyDescent="0.25">
      <c r="A204" s="162"/>
      <c r="B204" s="162"/>
    </row>
    <row r="205" spans="1:2" x14ac:dyDescent="0.25">
      <c r="A205" s="162"/>
      <c r="B205" s="162"/>
    </row>
    <row r="206" spans="1:2" x14ac:dyDescent="0.25">
      <c r="A206" s="162"/>
      <c r="B206" s="162"/>
    </row>
    <row r="207" spans="1:2" x14ac:dyDescent="0.25">
      <c r="A207" s="162"/>
      <c r="B207" s="162"/>
    </row>
    <row r="208" spans="1:2" x14ac:dyDescent="0.25">
      <c r="A208" s="162"/>
      <c r="B208" s="162"/>
    </row>
    <row r="209" spans="1:2" x14ac:dyDescent="0.25">
      <c r="A209" s="162"/>
      <c r="B209" s="162"/>
    </row>
  </sheetData>
  <mergeCells count="39">
    <mergeCell ref="D14:K14"/>
    <mergeCell ref="D97:K97"/>
    <mergeCell ref="D11:J11"/>
    <mergeCell ref="D8:K8"/>
    <mergeCell ref="D13:K13"/>
    <mergeCell ref="D71:K71"/>
    <mergeCell ref="N78:T78"/>
    <mergeCell ref="D63:J63"/>
    <mergeCell ref="D15:K15"/>
    <mergeCell ref="D20:E20"/>
    <mergeCell ref="D21:E21"/>
    <mergeCell ref="D27:E27"/>
    <mergeCell ref="D32:K32"/>
    <mergeCell ref="G117:J117"/>
    <mergeCell ref="D118:E118"/>
    <mergeCell ref="G118:H118"/>
    <mergeCell ref="I118:J118"/>
    <mergeCell ref="G106:J106"/>
    <mergeCell ref="D115:E115"/>
    <mergeCell ref="G107:H107"/>
    <mergeCell ref="D112:E112"/>
    <mergeCell ref="I107:J107"/>
    <mergeCell ref="D107:E107"/>
    <mergeCell ref="G108:H108"/>
    <mergeCell ref="I108:J108"/>
    <mergeCell ref="G130:I130"/>
    <mergeCell ref="J130:K130"/>
    <mergeCell ref="D123:E123"/>
    <mergeCell ref="D126:E126"/>
    <mergeCell ref="G119:H119"/>
    <mergeCell ref="I119:J119"/>
    <mergeCell ref="D104:K104"/>
    <mergeCell ref="D28:E28"/>
    <mergeCell ref="D102:J102"/>
    <mergeCell ref="D77:J77"/>
    <mergeCell ref="D78:J78"/>
    <mergeCell ref="D37:K37"/>
    <mergeCell ref="D48:K48"/>
    <mergeCell ref="D101:K101"/>
  </mergeCells>
  <phoneticPr fontId="33" type="noConversion"/>
  <conditionalFormatting sqref="L28:L29">
    <cfRule type="cellIs" dxfId="3" priority="4" operator="notEqual">
      <formula>0</formula>
    </cfRule>
  </conditionalFormatting>
  <conditionalFormatting sqref="L27">
    <cfRule type="cellIs" dxfId="2" priority="3" operator="notEqual">
      <formula>0</formula>
    </cfRule>
  </conditionalFormatting>
  <conditionalFormatting sqref="L21:L22">
    <cfRule type="cellIs" dxfId="1" priority="2" operator="notEqual">
      <formula>0</formula>
    </cfRule>
  </conditionalFormatting>
  <conditionalFormatting sqref="L20">
    <cfRule type="cellIs" dxfId="0" priority="1" operator="notEqual">
      <formula>0</formula>
    </cfRule>
  </conditionalFormatting>
  <pageMargins left="0.31496062992125984" right="0.31496062992125984" top="0.35433070866141736" bottom="0.35433070866141736" header="0.11811023622047245" footer="0.11811023622047245"/>
  <pageSetup paperSize="9" orientation="portrait" r:id="rId1"/>
  <headerFooter>
    <oddFooter>&amp;R&amp;P</oddFooter>
  </headerFooter>
  <rowBreaks count="2" manualBreakCount="2">
    <brk id="33" max="16383" man="1"/>
    <brk id="74" min="2"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7:H46"/>
  <sheetViews>
    <sheetView showGridLines="0" view="pageBreakPreview" zoomScaleNormal="100" zoomScaleSheetLayoutView="100" workbookViewId="0"/>
  </sheetViews>
  <sheetFormatPr defaultColWidth="9" defaultRowHeight="13.8" x14ac:dyDescent="0.25"/>
  <cols>
    <col min="1" max="1" width="45.59765625" style="6" customWidth="1"/>
    <col min="2" max="2" width="16.19921875" style="6" customWidth="1"/>
    <col min="3" max="5" width="12.59765625" style="6" customWidth="1"/>
    <col min="6" max="7" width="9" style="6"/>
    <col min="8" max="8" width="5.5" style="6" customWidth="1"/>
    <col min="9" max="16384" width="9" style="6"/>
  </cols>
  <sheetData>
    <row r="7" spans="1:8" ht="14.4" x14ac:dyDescent="0.25">
      <c r="A7" s="14"/>
      <c r="B7" s="14"/>
      <c r="C7" s="14"/>
      <c r="D7" s="14"/>
      <c r="E7" s="14"/>
      <c r="F7" s="14"/>
      <c r="G7" s="14"/>
      <c r="H7" s="14"/>
    </row>
    <row r="8" spans="1:8" ht="8.25" customHeight="1" x14ac:dyDescent="0.25">
      <c r="A8" s="14"/>
      <c r="B8" s="14"/>
      <c r="C8" s="14"/>
      <c r="D8" s="14"/>
      <c r="E8" s="14"/>
      <c r="F8" s="14"/>
      <c r="G8" s="14"/>
      <c r="H8" s="14"/>
    </row>
    <row r="9" spans="1:8" ht="8.25" customHeight="1" x14ac:dyDescent="0.25">
      <c r="A9" s="14"/>
      <c r="B9" s="14"/>
      <c r="C9" s="14"/>
      <c r="D9" s="14"/>
      <c r="E9" s="14"/>
      <c r="F9" s="14"/>
      <c r="G9" s="14"/>
      <c r="H9" s="14"/>
    </row>
    <row r="10" spans="1:8" ht="8.25" customHeight="1" x14ac:dyDescent="0.25">
      <c r="A10" s="14"/>
      <c r="B10" s="14"/>
      <c r="C10" s="14"/>
      <c r="D10" s="14"/>
      <c r="E10" s="14"/>
      <c r="F10" s="14"/>
      <c r="G10" s="14"/>
      <c r="H10" s="14"/>
    </row>
    <row r="11" spans="1:8" ht="14.4" x14ac:dyDescent="0.25">
      <c r="A11" s="20" t="s">
        <v>326</v>
      </c>
      <c r="B11" s="565" t="s">
        <v>543</v>
      </c>
      <c r="C11" s="14" t="s">
        <v>473</v>
      </c>
      <c r="D11" s="14"/>
      <c r="E11" s="14"/>
      <c r="F11" s="14"/>
      <c r="G11" s="14"/>
      <c r="H11" s="20"/>
    </row>
    <row r="12" spans="1:8" ht="14.25" customHeight="1" x14ac:dyDescent="0.25">
      <c r="A12" s="221" t="s">
        <v>1950</v>
      </c>
      <c r="B12" s="14" t="s">
        <v>560</v>
      </c>
      <c r="C12" s="14"/>
      <c r="D12" s="14"/>
      <c r="E12" s="14"/>
      <c r="F12" s="14"/>
      <c r="G12" s="14"/>
      <c r="H12" s="14"/>
    </row>
    <row r="13" spans="1:8" ht="14.4" x14ac:dyDescent="0.25">
      <c r="A13" s="221" t="s">
        <v>1951</v>
      </c>
      <c r="B13" s="14" t="s">
        <v>560</v>
      </c>
      <c r="C13" s="14"/>
      <c r="D13" s="14"/>
      <c r="E13" s="14"/>
      <c r="F13" s="14"/>
      <c r="G13" s="14"/>
      <c r="H13" s="14"/>
    </row>
    <row r="14" spans="1:8" ht="14.4" x14ac:dyDescent="0.25">
      <c r="A14" s="221" t="s">
        <v>1952</v>
      </c>
      <c r="B14" s="14" t="s">
        <v>560</v>
      </c>
      <c r="C14" s="14"/>
      <c r="D14" s="14"/>
      <c r="E14" s="14"/>
      <c r="F14" s="14"/>
      <c r="G14" s="14"/>
      <c r="H14" s="14"/>
    </row>
    <row r="15" spans="1:8" ht="14.4" x14ac:dyDescent="0.25">
      <c r="A15" s="221" t="s">
        <v>1953</v>
      </c>
      <c r="B15" s="14" t="s">
        <v>560</v>
      </c>
      <c r="C15" s="14"/>
      <c r="D15" s="14"/>
      <c r="E15" s="14"/>
      <c r="F15" s="14"/>
      <c r="G15" s="14"/>
      <c r="H15" s="14"/>
    </row>
    <row r="16" spans="1:8" ht="14.4" x14ac:dyDescent="0.25">
      <c r="A16" s="221" t="s">
        <v>1954</v>
      </c>
      <c r="B16" s="14" t="s">
        <v>560</v>
      </c>
      <c r="C16" s="14"/>
      <c r="D16" s="14"/>
      <c r="E16" s="14"/>
      <c r="F16" s="14"/>
      <c r="G16" s="14"/>
      <c r="H16" s="14"/>
    </row>
    <row r="17" spans="1:8" ht="14.4" x14ac:dyDescent="0.25">
      <c r="A17" s="221" t="s">
        <v>1799</v>
      </c>
      <c r="B17" s="14" t="s">
        <v>560</v>
      </c>
      <c r="C17" s="14"/>
      <c r="D17" s="14"/>
      <c r="E17" s="14"/>
      <c r="F17" s="14"/>
      <c r="G17" s="14"/>
      <c r="H17" s="14"/>
    </row>
    <row r="18" spans="1:8" ht="14.4" x14ac:dyDescent="0.25">
      <c r="A18" s="221" t="s">
        <v>1955</v>
      </c>
      <c r="B18" s="14" t="s">
        <v>560</v>
      </c>
      <c r="C18" s="14"/>
      <c r="D18" s="14"/>
      <c r="E18" s="14"/>
      <c r="F18" s="14"/>
      <c r="G18" s="14"/>
      <c r="H18" s="14"/>
    </row>
    <row r="19" spans="1:8" ht="14.4" x14ac:dyDescent="0.25">
      <c r="A19" s="222">
        <v>2024</v>
      </c>
      <c r="B19" s="14" t="s">
        <v>1346</v>
      </c>
      <c r="C19" s="496"/>
      <c r="D19" s="496"/>
      <c r="E19" s="14"/>
      <c r="F19" s="14"/>
      <c r="G19" s="14"/>
      <c r="H19" s="14"/>
    </row>
    <row r="20" spans="1:8" ht="14.4" x14ac:dyDescent="0.25">
      <c r="A20" s="265">
        <v>2023</v>
      </c>
      <c r="B20" s="14" t="s">
        <v>541</v>
      </c>
      <c r="C20" s="14"/>
      <c r="D20" s="14"/>
      <c r="E20" s="14"/>
      <c r="F20" s="14"/>
      <c r="G20" s="14"/>
      <c r="H20"/>
    </row>
    <row r="21" spans="1:8" ht="14.4" x14ac:dyDescent="0.25">
      <c r="A21" s="265">
        <v>2022</v>
      </c>
      <c r="B21" s="14" t="s">
        <v>542</v>
      </c>
      <c r="C21" s="14"/>
      <c r="D21" s="14"/>
      <c r="E21" s="14"/>
      <c r="F21" s="14"/>
      <c r="G21" s="14"/>
      <c r="H21" s="14"/>
    </row>
    <row r="22" spans="1:8" ht="14.4" x14ac:dyDescent="0.25">
      <c r="A22" s="223" t="s">
        <v>1956</v>
      </c>
      <c r="B22" s="14" t="s">
        <v>561</v>
      </c>
      <c r="C22" s="14"/>
      <c r="D22" s="14"/>
      <c r="E22" s="14"/>
      <c r="F22" s="14"/>
      <c r="G22" s="14"/>
      <c r="H22" s="14"/>
    </row>
    <row r="23" spans="1:8" ht="14.4" x14ac:dyDescent="0.25">
      <c r="A23" s="223" t="s">
        <v>1800</v>
      </c>
      <c r="B23" s="14" t="s">
        <v>561</v>
      </c>
      <c r="C23" s="14"/>
      <c r="D23" s="14"/>
      <c r="E23" s="14"/>
      <c r="F23" s="14"/>
      <c r="G23" s="14"/>
      <c r="H23" s="14"/>
    </row>
    <row r="24" spans="1:8" ht="14.4" x14ac:dyDescent="0.25">
      <c r="A24" s="223" t="s">
        <v>60</v>
      </c>
      <c r="B24" s="14" t="s">
        <v>562</v>
      </c>
      <c r="C24" s="14"/>
      <c r="E24" s="14"/>
      <c r="F24" s="14"/>
      <c r="G24" s="14"/>
      <c r="H24" s="14"/>
    </row>
    <row r="25" spans="1:8" ht="14.4" x14ac:dyDescent="0.25">
      <c r="A25" s="20"/>
      <c r="B25" s="14"/>
      <c r="C25" s="14"/>
      <c r="D25" s="14"/>
      <c r="E25" s="14"/>
      <c r="F25" s="14"/>
      <c r="G25" s="14"/>
      <c r="H25" s="14"/>
    </row>
    <row r="26" spans="1:8" ht="14.4" x14ac:dyDescent="0.25">
      <c r="A26" s="20"/>
      <c r="B26" s="14"/>
      <c r="C26" s="14"/>
      <c r="D26" s="14"/>
      <c r="E26" s="14"/>
      <c r="F26" s="14"/>
      <c r="G26" s="14"/>
      <c r="H26" s="14"/>
    </row>
    <row r="27" spans="1:8" ht="15" thickBot="1" x14ac:dyDescent="0.3">
      <c r="A27" s="14"/>
      <c r="B27" s="14"/>
      <c r="C27" s="14"/>
      <c r="D27" s="14"/>
      <c r="E27" s="14"/>
      <c r="F27" s="14"/>
      <c r="G27" s="14"/>
      <c r="H27" s="14"/>
    </row>
    <row r="28" spans="1:8" ht="20.399999999999999" x14ac:dyDescent="0.35">
      <c r="A28" s="123" t="s">
        <v>330</v>
      </c>
      <c r="B28" s="124"/>
      <c r="C28" s="124"/>
      <c r="D28" s="124"/>
      <c r="E28" s="125"/>
      <c r="F28" s="14"/>
      <c r="G28" s="14"/>
      <c r="H28" s="14"/>
    </row>
    <row r="29" spans="1:8" ht="15.6" x14ac:dyDescent="0.3">
      <c r="A29" s="2064" t="s">
        <v>657</v>
      </c>
      <c r="B29" s="2065"/>
      <c r="C29" s="2065"/>
      <c r="D29" s="2065"/>
      <c r="E29" s="2066"/>
      <c r="F29" s="14"/>
      <c r="G29" s="14"/>
      <c r="H29" s="14"/>
    </row>
    <row r="30" spans="1:8" ht="15.6" x14ac:dyDescent="0.3">
      <c r="A30" s="2064" t="s">
        <v>290</v>
      </c>
      <c r="B30" s="2065"/>
      <c r="C30" s="2065"/>
      <c r="D30" s="2065"/>
      <c r="E30" s="2066"/>
      <c r="F30" s="14"/>
      <c r="G30" s="14"/>
      <c r="H30" s="14"/>
    </row>
    <row r="31" spans="1:8" ht="16.5" customHeight="1" x14ac:dyDescent="0.3">
      <c r="A31" s="2064" t="s">
        <v>291</v>
      </c>
      <c r="B31" s="2065"/>
      <c r="C31" s="2065"/>
      <c r="D31" s="2065"/>
      <c r="E31" s="2066"/>
      <c r="F31" s="14"/>
      <c r="G31" s="14"/>
      <c r="H31" s="14"/>
    </row>
    <row r="32" spans="1:8" ht="16.5" customHeight="1" x14ac:dyDescent="0.3">
      <c r="A32" s="2064" t="s">
        <v>491</v>
      </c>
      <c r="B32" s="2065"/>
      <c r="C32" s="2065"/>
      <c r="D32" s="2065"/>
      <c r="E32" s="2066"/>
      <c r="F32" s="14"/>
      <c r="G32" s="14"/>
      <c r="H32" s="14"/>
    </row>
    <row r="33" spans="1:8" ht="16.5" customHeight="1" x14ac:dyDescent="0.3">
      <c r="A33" s="2064" t="s">
        <v>84</v>
      </c>
      <c r="B33" s="2065"/>
      <c r="C33" s="2065"/>
      <c r="D33" s="2065"/>
      <c r="E33" s="2066"/>
      <c r="F33" s="14"/>
      <c r="G33" s="14"/>
      <c r="H33" s="14"/>
    </row>
    <row r="34" spans="1:8" ht="16.5" customHeight="1" x14ac:dyDescent="0.3">
      <c r="A34" s="2064" t="s">
        <v>525</v>
      </c>
      <c r="B34" s="2065"/>
      <c r="C34" s="2065"/>
      <c r="D34" s="2065"/>
      <c r="E34" s="2066"/>
      <c r="F34" s="14"/>
      <c r="G34" s="14"/>
      <c r="H34" s="14"/>
    </row>
    <row r="35" spans="1:8" ht="16.5" customHeight="1" x14ac:dyDescent="0.3">
      <c r="A35" s="2064" t="s">
        <v>292</v>
      </c>
      <c r="B35" s="2065"/>
      <c r="C35" s="2065"/>
      <c r="D35" s="2065"/>
      <c r="E35" s="2066"/>
      <c r="F35" s="14"/>
      <c r="G35" s="14"/>
      <c r="H35" s="14"/>
    </row>
    <row r="36" spans="1:8" ht="35.25" customHeight="1" x14ac:dyDescent="0.35">
      <c r="A36" s="2067" t="s">
        <v>1795</v>
      </c>
      <c r="B36" s="2068"/>
      <c r="C36" s="2068"/>
      <c r="D36" s="2068"/>
      <c r="E36" s="2069"/>
      <c r="F36" s="14"/>
      <c r="G36" s="14"/>
      <c r="H36" s="14"/>
    </row>
    <row r="37" spans="1:8" ht="16.5" customHeight="1" x14ac:dyDescent="0.3">
      <c r="A37" s="279"/>
      <c r="B37" s="280"/>
      <c r="C37" s="280"/>
      <c r="D37" s="280"/>
      <c r="E37" s="281"/>
      <c r="F37" s="14"/>
      <c r="G37" s="14"/>
      <c r="H37" s="14"/>
    </row>
    <row r="38" spans="1:8" ht="15.6" x14ac:dyDescent="0.3">
      <c r="A38" s="2064" t="s">
        <v>526</v>
      </c>
      <c r="B38" s="2065"/>
      <c r="C38" s="2065"/>
      <c r="D38" s="2065"/>
      <c r="E38" s="2066"/>
      <c r="F38" s="14"/>
      <c r="G38" s="14"/>
      <c r="H38" s="14"/>
    </row>
    <row r="39" spans="1:8" ht="23.25" customHeight="1" x14ac:dyDescent="0.3">
      <c r="A39" s="2064" t="s">
        <v>2063</v>
      </c>
      <c r="B39" s="2065"/>
      <c r="C39" s="2065"/>
      <c r="D39" s="2065"/>
      <c r="E39" s="2066"/>
      <c r="F39" s="14"/>
      <c r="G39" s="14"/>
      <c r="H39" s="14"/>
    </row>
    <row r="40" spans="1:8" ht="23.25" customHeight="1" thickBot="1" x14ac:dyDescent="0.35">
      <c r="A40" s="2061" t="s">
        <v>1715</v>
      </c>
      <c r="B40" s="2062"/>
      <c r="C40" s="2062"/>
      <c r="D40" s="2062"/>
      <c r="E40" s="2063"/>
      <c r="F40" s="14"/>
      <c r="G40" s="14"/>
      <c r="H40" s="14"/>
    </row>
    <row r="41" spans="1:8" ht="23.25" customHeight="1" x14ac:dyDescent="0.25">
      <c r="F41" s="14"/>
      <c r="G41" s="14"/>
      <c r="H41" s="14"/>
    </row>
    <row r="42" spans="1:8" ht="23.25" customHeight="1" x14ac:dyDescent="0.25">
      <c r="F42" s="14"/>
      <c r="G42" s="14"/>
      <c r="H42" s="14"/>
    </row>
    <row r="43" spans="1:8" ht="23.25" customHeight="1" x14ac:dyDescent="0.25">
      <c r="F43" s="14"/>
      <c r="G43" s="14"/>
      <c r="H43" s="14"/>
    </row>
    <row r="44" spans="1:8" ht="23.25" customHeight="1" x14ac:dyDescent="0.25">
      <c r="F44" s="14"/>
      <c r="G44" s="14"/>
      <c r="H44" s="14"/>
    </row>
    <row r="45" spans="1:8" ht="23.25" customHeight="1" x14ac:dyDescent="0.25">
      <c r="F45" s="14"/>
      <c r="G45" s="14"/>
      <c r="H45" s="14"/>
    </row>
    <row r="46" spans="1:8" ht="23.25" customHeight="1" x14ac:dyDescent="0.25">
      <c r="F46" s="14"/>
      <c r="G46" s="14"/>
      <c r="H46" s="14"/>
    </row>
  </sheetData>
  <customSheetViews>
    <customSheetView guid="{7F222B88-8DE7-4209-9261-78C075D2F561}" scale="75" showPageBreaks="1" printArea="1" showRuler="0" topLeftCell="A10">
      <selection activeCell="E12" sqref="E12:E48"/>
      <pageMargins left="0.74803149606299213" right="0.62992125984251968" top="0.70866141732283472" bottom="0.70866141732283472" header="0.51181102362204722" footer="0.51181102362204722"/>
      <pageSetup paperSize="9" scale="67" orientation="portrait" r:id="rId1"/>
      <headerFooter alignWithMargins="0"/>
    </customSheetView>
  </customSheetViews>
  <mergeCells count="11">
    <mergeCell ref="A40:E40"/>
    <mergeCell ref="A29:E29"/>
    <mergeCell ref="A30:E30"/>
    <mergeCell ref="A38:E38"/>
    <mergeCell ref="A39:E39"/>
    <mergeCell ref="A31:E31"/>
    <mergeCell ref="A32:E32"/>
    <mergeCell ref="A34:E34"/>
    <mergeCell ref="A35:E35"/>
    <mergeCell ref="A33:E33"/>
    <mergeCell ref="A36:E36"/>
  </mergeCells>
  <phoneticPr fontId="17" type="noConversion"/>
  <printOptions horizontalCentered="1"/>
  <pageMargins left="0.55118110236220474" right="0.55118110236220474" top="0.98425196850393704" bottom="0.39370078740157483" header="0.51181102362204722" footer="0.51181102362204722"/>
  <pageSetup paperSize="9" scale="70"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FT349"/>
  <sheetViews>
    <sheetView showGridLines="0" view="pageBreakPreview" zoomScaleNormal="100" zoomScaleSheetLayoutView="100" workbookViewId="0">
      <pane ySplit="2" topLeftCell="A78" activePane="bottomLeft" state="frozen"/>
      <selection pane="bottomLeft"/>
    </sheetView>
  </sheetViews>
  <sheetFormatPr defaultColWidth="9" defaultRowHeight="14.4" x14ac:dyDescent="0.25"/>
  <cols>
    <col min="1" max="1" width="12.19921875" style="339" customWidth="1"/>
    <col min="2" max="2" width="7.3984375" style="318" customWidth="1"/>
    <col min="3" max="3" width="3.69921875" style="350" customWidth="1"/>
    <col min="4" max="4" width="3.69921875" style="320" customWidth="1"/>
    <col min="5" max="5" width="14.3984375" style="321" customWidth="1"/>
    <col min="6" max="6" width="12.69921875" style="331" customWidth="1"/>
    <col min="7" max="9" width="6" style="319" bestFit="1" customWidth="1"/>
    <col min="10" max="10" width="6" style="332" bestFit="1" customWidth="1"/>
    <col min="11" max="12" width="6" style="319" bestFit="1" customWidth="1"/>
    <col min="13" max="13" width="2.3984375" style="319" customWidth="1"/>
    <col min="14" max="14" width="9" style="319" customWidth="1"/>
    <col min="15" max="15" width="1" style="319" customWidth="1"/>
    <col min="16" max="16" width="1.69921875" style="319" customWidth="1"/>
    <col min="17" max="17" width="50.59765625" style="319" customWidth="1"/>
    <col min="18" max="16384" width="9" style="319"/>
  </cols>
  <sheetData>
    <row r="1" spans="1:25" ht="16.5" customHeight="1" x14ac:dyDescent="0.25">
      <c r="A1" s="80"/>
      <c r="C1" s="80" t="str">
        <f>IF('Merge Details_Printing instr'!$B$11="Insert details here",'Merge Details_Printing instr'!$A$11,'Merge Details_Printing instr'!$B$11)</f>
        <v>Council Name</v>
      </c>
      <c r="F1" s="2337" t="s">
        <v>303</v>
      </c>
      <c r="G1" s="2337"/>
      <c r="H1" s="2337"/>
      <c r="I1" s="2337"/>
      <c r="J1" s="2337"/>
      <c r="K1" s="2337"/>
      <c r="L1" s="2337"/>
      <c r="M1" s="2337"/>
      <c r="N1" s="2337"/>
      <c r="O1" s="2337"/>
    </row>
    <row r="2" spans="1:25" s="324" customFormat="1" ht="16.5" customHeight="1" x14ac:dyDescent="0.25">
      <c r="A2" s="85" t="s">
        <v>696</v>
      </c>
      <c r="B2" s="304" t="s">
        <v>207</v>
      </c>
      <c r="C2" s="85" t="str">
        <f>'Merge Details_Printing instr'!A12</f>
        <v>2023-2024 Financial Report</v>
      </c>
      <c r="D2" s="322"/>
      <c r="E2" s="323"/>
      <c r="F2" s="2338" t="str">
        <f>+'Merge Details_Printing instr'!A14</f>
        <v>For the Year Ended 30 June 2024</v>
      </c>
      <c r="G2" s="2338"/>
      <c r="H2" s="2338"/>
      <c r="I2" s="2338"/>
      <c r="J2" s="2338"/>
      <c r="K2" s="2338"/>
      <c r="L2" s="2338"/>
      <c r="M2" s="2338"/>
      <c r="N2" s="2338"/>
      <c r="O2" s="2338"/>
      <c r="P2" s="319"/>
    </row>
    <row r="3" spans="1:25" ht="9" customHeight="1" x14ac:dyDescent="0.25">
      <c r="A3" s="146"/>
      <c r="C3" s="1492"/>
      <c r="D3" s="1493"/>
      <c r="E3" s="1494"/>
      <c r="F3" s="1495"/>
      <c r="G3" s="1496"/>
      <c r="H3" s="1496"/>
      <c r="I3" s="1496"/>
      <c r="J3" s="1497"/>
      <c r="K3" s="1496"/>
      <c r="L3" s="1496"/>
      <c r="M3" s="1496"/>
      <c r="N3" s="1496"/>
    </row>
    <row r="4" spans="1:25" ht="16.5" customHeight="1" x14ac:dyDescent="0.25">
      <c r="A4" s="256">
        <v>13</v>
      </c>
      <c r="B4" s="256" t="s">
        <v>858</v>
      </c>
      <c r="C4" s="1498" t="s">
        <v>286</v>
      </c>
      <c r="D4" s="1499">
        <v>9.1199999999999992</v>
      </c>
      <c r="E4" s="2339" t="s">
        <v>857</v>
      </c>
      <c r="F4" s="2339"/>
      <c r="G4" s="1496"/>
      <c r="H4" s="1500"/>
      <c r="I4" s="1501"/>
      <c r="J4" s="1500"/>
      <c r="K4" s="1501"/>
      <c r="L4" s="1500"/>
      <c r="M4" s="1502"/>
      <c r="N4" s="1500"/>
      <c r="O4" s="335"/>
      <c r="P4" s="330"/>
      <c r="Q4" s="2329" t="s">
        <v>859</v>
      </c>
      <c r="R4" s="2329"/>
      <c r="S4" s="2329"/>
      <c r="T4" s="2329"/>
      <c r="U4" s="2329"/>
      <c r="V4" s="2329"/>
      <c r="W4" s="2329"/>
      <c r="X4" s="2329"/>
      <c r="Y4" s="2329"/>
    </row>
    <row r="5" spans="1:25" ht="16.5" customHeight="1" x14ac:dyDescent="0.25">
      <c r="A5" s="256"/>
      <c r="B5" s="256"/>
      <c r="C5" s="1492"/>
      <c r="D5" s="1493"/>
      <c r="E5" s="1503" t="s">
        <v>860</v>
      </c>
      <c r="F5" s="1504"/>
      <c r="G5" s="1496"/>
      <c r="H5" s="1496"/>
      <c r="I5" s="1505"/>
      <c r="J5" s="1497"/>
      <c r="K5" s="1496"/>
      <c r="L5" s="1493"/>
      <c r="M5" s="1493"/>
      <c r="N5" s="1496"/>
      <c r="Q5" s="348" t="s">
        <v>2054</v>
      </c>
    </row>
    <row r="6" spans="1:25" x14ac:dyDescent="0.25">
      <c r="A6" s="256"/>
      <c r="B6" s="256"/>
      <c r="C6" s="1492"/>
      <c r="D6" s="1493"/>
      <c r="E6" s="1503" t="s">
        <v>319</v>
      </c>
      <c r="G6" s="1496"/>
      <c r="H6" s="1506"/>
      <c r="I6" s="1506"/>
      <c r="J6" s="1506"/>
      <c r="K6" s="1497"/>
      <c r="L6" s="1506"/>
      <c r="M6" s="1506"/>
      <c r="N6" s="1506"/>
      <c r="O6" s="332"/>
    </row>
    <row r="7" spans="1:25" x14ac:dyDescent="0.25">
      <c r="A7" s="256"/>
      <c r="B7" s="256"/>
      <c r="C7" s="1492"/>
      <c r="D7" s="1493"/>
      <c r="E7" s="1503" t="s">
        <v>544</v>
      </c>
      <c r="G7" s="1496"/>
      <c r="H7" s="1506"/>
      <c r="I7" s="1506"/>
      <c r="J7" s="1506"/>
      <c r="K7" s="1497"/>
      <c r="L7" s="1506"/>
      <c r="M7" s="1506"/>
      <c r="N7" s="1506"/>
      <c r="O7" s="332"/>
    </row>
    <row r="8" spans="1:25" ht="16.5" customHeight="1" x14ac:dyDescent="0.25">
      <c r="A8" s="256"/>
      <c r="B8" s="256"/>
      <c r="C8" s="1492"/>
      <c r="D8" s="1493"/>
      <c r="E8" s="1503" t="s">
        <v>899</v>
      </c>
      <c r="G8" s="1496"/>
      <c r="H8" s="1496"/>
      <c r="I8" s="1505"/>
      <c r="J8" s="1497"/>
      <c r="K8" s="1496"/>
      <c r="L8" s="1493"/>
      <c r="M8" s="1493"/>
      <c r="N8" s="1496"/>
    </row>
    <row r="9" spans="1:25" x14ac:dyDescent="0.25">
      <c r="A9" s="256"/>
      <c r="B9" s="256"/>
      <c r="C9" s="1492"/>
      <c r="D9" s="1493"/>
      <c r="E9" s="2021" t="s">
        <v>863</v>
      </c>
      <c r="G9" s="1504"/>
      <c r="H9" s="1504"/>
      <c r="I9" s="1504"/>
      <c r="J9" s="1504"/>
      <c r="K9" s="1504"/>
      <c r="L9" s="1504"/>
      <c r="M9" s="1504"/>
      <c r="N9" s="1504"/>
      <c r="O9" s="337"/>
    </row>
    <row r="10" spans="1:25" s="474" customFormat="1" x14ac:dyDescent="0.25">
      <c r="A10" s="737"/>
      <c r="B10" s="737"/>
      <c r="C10" s="1492"/>
      <c r="D10" s="1493"/>
      <c r="E10" s="2021" t="s">
        <v>1724</v>
      </c>
      <c r="G10" s="1504"/>
      <c r="H10" s="1504"/>
      <c r="I10" s="1504"/>
      <c r="J10" s="1504"/>
      <c r="K10" s="1504"/>
      <c r="L10" s="1504"/>
      <c r="M10" s="1504"/>
      <c r="N10" s="1504"/>
      <c r="O10" s="739"/>
    </row>
    <row r="11" spans="1:25" ht="16.5" customHeight="1" x14ac:dyDescent="0.25">
      <c r="A11" s="256"/>
      <c r="B11" s="256"/>
      <c r="C11" s="1492"/>
      <c r="D11" s="1493"/>
      <c r="E11" s="2021" t="s">
        <v>1796</v>
      </c>
      <c r="G11" s="1504"/>
      <c r="H11" s="1504"/>
      <c r="I11" s="1504"/>
      <c r="J11" s="1504"/>
      <c r="K11" s="1504"/>
      <c r="L11" s="1504"/>
      <c r="M11" s="1504"/>
      <c r="N11" s="1504"/>
      <c r="O11" s="337"/>
    </row>
    <row r="12" spans="1:25" x14ac:dyDescent="0.25">
      <c r="A12" s="256"/>
      <c r="B12" s="256"/>
      <c r="C12" s="1492"/>
      <c r="D12" s="1493"/>
      <c r="E12" s="2021" t="s">
        <v>1797</v>
      </c>
      <c r="G12" s="1504"/>
      <c r="H12" s="1504"/>
      <c r="I12" s="1504"/>
      <c r="J12" s="1504"/>
      <c r="K12" s="1504"/>
      <c r="L12" s="1504"/>
      <c r="M12" s="1504"/>
      <c r="N12" s="1504"/>
      <c r="O12" s="337"/>
    </row>
    <row r="13" spans="1:25" x14ac:dyDescent="0.25">
      <c r="A13" s="256"/>
      <c r="B13" s="256"/>
      <c r="C13" s="1492"/>
      <c r="D13" s="1493"/>
      <c r="E13" s="2021" t="s">
        <v>864</v>
      </c>
      <c r="G13" s="1496"/>
      <c r="H13" s="1507"/>
      <c r="I13" s="1505"/>
      <c r="J13" s="1507"/>
      <c r="K13" s="1496"/>
      <c r="L13" s="1507"/>
      <c r="M13" s="1493"/>
      <c r="N13" s="1507"/>
    </row>
    <row r="14" spans="1:25" x14ac:dyDescent="0.25">
      <c r="A14" s="256"/>
      <c r="B14" s="256"/>
      <c r="C14" s="1492"/>
      <c r="D14" s="1493"/>
      <c r="E14" s="2021" t="s">
        <v>896</v>
      </c>
      <c r="G14" s="1508"/>
      <c r="H14" s="1507"/>
      <c r="I14" s="1508"/>
      <c r="J14" s="1508"/>
      <c r="K14" s="1508"/>
      <c r="L14" s="1508"/>
      <c r="M14" s="1508"/>
      <c r="N14" s="1508"/>
      <c r="O14" s="338"/>
    </row>
    <row r="15" spans="1:25" ht="6.75" customHeight="1" x14ac:dyDescent="0.25">
      <c r="A15" s="256"/>
      <c r="B15" s="256"/>
      <c r="C15" s="1492"/>
      <c r="D15" s="1493"/>
      <c r="E15" s="1494"/>
      <c r="F15" s="1494"/>
      <c r="G15" s="1496"/>
      <c r="H15" s="1496"/>
      <c r="I15" s="1505"/>
      <c r="J15" s="1497"/>
      <c r="K15" s="1496"/>
      <c r="L15" s="1493"/>
      <c r="M15" s="1493"/>
      <c r="N15" s="1496"/>
    </row>
    <row r="16" spans="1:25" x14ac:dyDescent="0.25">
      <c r="A16" s="256"/>
      <c r="B16" s="256"/>
      <c r="C16" s="1492"/>
      <c r="D16" s="1493"/>
      <c r="E16" s="2317" t="s">
        <v>862</v>
      </c>
      <c r="F16" s="2317"/>
      <c r="G16" s="2317"/>
      <c r="H16" s="2317"/>
      <c r="I16" s="2317"/>
      <c r="J16" s="2317"/>
      <c r="K16" s="2317"/>
      <c r="L16" s="2317"/>
      <c r="M16" s="2317"/>
      <c r="N16" s="1509"/>
      <c r="O16" s="332"/>
    </row>
    <row r="17" spans="1:17" ht="49.5" customHeight="1" x14ac:dyDescent="0.25">
      <c r="A17" s="256">
        <v>13</v>
      </c>
      <c r="B17" s="256" t="s">
        <v>865</v>
      </c>
      <c r="C17" s="1492"/>
      <c r="D17" s="1493"/>
      <c r="E17" s="2333" t="str">
        <f>"Council also has assets measured at fair value on a non-recurring basis as a result of being reclassified as assets held for sale. These comprise &lt;insert details&gt; as disclosed in note "&amp;'Notes 2 to 5'!E485&amp;". A description of the valuation techniques and the inputs used to determine the fair value of this land is included below under the heading 'Land held for sale)'."</f>
        <v>Council also has assets measured at fair value on a non-recurring basis as a result of being reclassified as assets held for sale. These comprise &lt;insert details&gt; as disclosed in note 4.5. A description of the valuation techniques and the inputs used to determine the fair value of this land is included below under the heading 'Land held for sale)'.</v>
      </c>
      <c r="F17" s="2333"/>
      <c r="G17" s="2333"/>
      <c r="H17" s="2333"/>
      <c r="I17" s="2333"/>
      <c r="J17" s="2333"/>
      <c r="K17" s="2333"/>
      <c r="L17" s="2333"/>
      <c r="M17" s="2333"/>
      <c r="N17" s="2333"/>
    </row>
    <row r="18" spans="1:17" s="474" customFormat="1" ht="6" customHeight="1" x14ac:dyDescent="0.25">
      <c r="A18" s="577"/>
      <c r="B18" s="577"/>
      <c r="C18" s="1492"/>
      <c r="D18" s="1493"/>
      <c r="E18" s="1510"/>
      <c r="F18" s="1511"/>
      <c r="G18" s="1511"/>
      <c r="H18" s="1511"/>
      <c r="I18" s="1511"/>
      <c r="J18" s="1511"/>
      <c r="K18" s="1511"/>
      <c r="L18" s="1511"/>
      <c r="M18" s="1511"/>
      <c r="N18" s="1511"/>
    </row>
    <row r="19" spans="1:17" x14ac:dyDescent="0.25">
      <c r="A19" s="256"/>
      <c r="B19" s="256"/>
      <c r="C19" s="1492"/>
      <c r="D19" s="1512" t="s">
        <v>942</v>
      </c>
      <c r="E19" s="1512" t="s">
        <v>943</v>
      </c>
      <c r="F19" s="1496"/>
      <c r="G19" s="1496"/>
      <c r="H19" s="1496"/>
      <c r="I19" s="1505"/>
      <c r="J19" s="1497"/>
      <c r="K19" s="1496"/>
      <c r="L19" s="1493"/>
      <c r="M19" s="1493"/>
      <c r="N19" s="1496"/>
    </row>
    <row r="20" spans="1:17" x14ac:dyDescent="0.25">
      <c r="A20" s="256"/>
      <c r="B20" s="256"/>
      <c r="C20" s="1496"/>
      <c r="D20" s="1493"/>
      <c r="E20" s="2317" t="s">
        <v>1884</v>
      </c>
      <c r="F20" s="2317"/>
      <c r="G20" s="2317"/>
      <c r="H20" s="2317"/>
      <c r="I20" s="2317"/>
      <c r="J20" s="2317"/>
      <c r="K20" s="2317"/>
      <c r="L20" s="2317"/>
      <c r="M20" s="2317"/>
      <c r="N20" s="2317"/>
      <c r="O20" s="338"/>
    </row>
    <row r="21" spans="1:17" x14ac:dyDescent="0.25">
      <c r="A21" s="256"/>
      <c r="B21" s="256"/>
      <c r="C21" s="1496"/>
      <c r="D21" s="1493"/>
      <c r="E21" s="1513" t="s">
        <v>927</v>
      </c>
      <c r="F21" s="2315" t="s">
        <v>926</v>
      </c>
      <c r="G21" s="2315"/>
      <c r="H21" s="2315"/>
      <c r="I21" s="2315"/>
      <c r="J21" s="2315"/>
      <c r="K21" s="2315"/>
      <c r="L21" s="2315"/>
      <c r="M21" s="2315"/>
      <c r="N21" s="2315"/>
      <c r="O21" s="338"/>
      <c r="Q21" s="614"/>
    </row>
    <row r="22" spans="1:17" x14ac:dyDescent="0.25">
      <c r="A22" s="256"/>
      <c r="B22" s="256"/>
      <c r="C22" s="1496"/>
      <c r="D22" s="1493"/>
      <c r="E22" s="1513" t="s">
        <v>133</v>
      </c>
      <c r="F22" s="2315" t="s">
        <v>928</v>
      </c>
      <c r="G22" s="2315"/>
      <c r="H22" s="2315"/>
      <c r="I22" s="2315"/>
      <c r="J22" s="2315"/>
      <c r="K22" s="2315"/>
      <c r="L22" s="2315"/>
      <c r="M22" s="2315"/>
      <c r="N22" s="2315"/>
      <c r="O22" s="338"/>
    </row>
    <row r="23" spans="1:17" x14ac:dyDescent="0.25">
      <c r="A23" s="256"/>
      <c r="B23" s="256"/>
      <c r="C23" s="1496"/>
      <c r="D23" s="1493"/>
      <c r="E23" s="1513" t="s">
        <v>393</v>
      </c>
      <c r="F23" s="2315" t="s">
        <v>929</v>
      </c>
      <c r="G23" s="2315"/>
      <c r="H23" s="2315"/>
      <c r="I23" s="2315"/>
      <c r="J23" s="2315"/>
      <c r="K23" s="2315"/>
      <c r="L23" s="2315"/>
      <c r="M23" s="2315"/>
      <c r="N23" s="2315"/>
      <c r="O23" s="338"/>
    </row>
    <row r="24" spans="1:17" s="474" customFormat="1" ht="6" customHeight="1" x14ac:dyDescent="0.25">
      <c r="A24" s="611"/>
      <c r="B24" s="611"/>
      <c r="C24" s="1492"/>
      <c r="D24" s="1493"/>
      <c r="E24" s="1513"/>
      <c r="F24" s="1514"/>
      <c r="G24" s="1514"/>
      <c r="H24" s="1514"/>
      <c r="I24" s="1514"/>
      <c r="J24" s="1514"/>
      <c r="K24" s="1514"/>
      <c r="L24" s="1514"/>
      <c r="M24" s="1514"/>
      <c r="N24" s="1514"/>
      <c r="O24" s="338"/>
    </row>
    <row r="25" spans="1:17" ht="32.25" customHeight="1" x14ac:dyDescent="0.25">
      <c r="A25" s="256">
        <v>13</v>
      </c>
      <c r="B25" s="256" t="s">
        <v>931</v>
      </c>
      <c r="C25" s="1492"/>
      <c r="D25" s="1493"/>
      <c r="E25" s="2317" t="str">
        <f>"The table below shows the assigned level for each asset and liability held at fair value by the Council. The table presents the Council's assets and liabilities measured and recognised at fair value at 30 June "&amp;'Merge Details_Printing instr'!A19&amp;". "</f>
        <v xml:space="preserve">The table below shows the assigned level for each asset and liability held at fair value by the Council. The table presents the Council's assets and liabilities measured and recognised at fair value at 30 June 2024. </v>
      </c>
      <c r="F25" s="2317"/>
      <c r="G25" s="2317"/>
      <c r="H25" s="2317"/>
      <c r="I25" s="2317"/>
      <c r="J25" s="2317"/>
      <c r="K25" s="2317"/>
      <c r="L25" s="2317"/>
      <c r="M25" s="2317"/>
      <c r="N25" s="2317"/>
      <c r="O25" s="338"/>
    </row>
    <row r="26" spans="1:17" ht="72" customHeight="1" x14ac:dyDescent="0.25">
      <c r="A26" s="256"/>
      <c r="B26" s="256"/>
      <c r="C26" s="1492"/>
      <c r="D26" s="1493"/>
      <c r="E26" s="2317" t="s">
        <v>930</v>
      </c>
      <c r="F26" s="2317"/>
      <c r="G26" s="2317"/>
      <c r="H26" s="2317"/>
      <c r="I26" s="2317"/>
      <c r="J26" s="2317"/>
      <c r="K26" s="2317"/>
      <c r="L26" s="2317"/>
      <c r="M26" s="2317"/>
      <c r="N26" s="2317"/>
      <c r="O26" s="332"/>
    </row>
    <row r="27" spans="1:17" x14ac:dyDescent="0.25">
      <c r="A27" s="256"/>
      <c r="B27" s="256"/>
      <c r="C27" s="1492"/>
      <c r="D27" s="1493"/>
      <c r="E27" s="1515" t="str">
        <f>'Merge Details_Printing instr'!A16</f>
        <v>As at 30 June 2024</v>
      </c>
      <c r="F27" s="1516"/>
      <c r="G27" s="1496"/>
      <c r="H27" s="1496"/>
      <c r="I27" s="1505"/>
      <c r="J27" s="1497"/>
      <c r="K27" s="1496"/>
      <c r="L27" s="1493"/>
      <c r="M27" s="1505"/>
      <c r="N27" s="1496"/>
    </row>
    <row r="28" spans="1:17" x14ac:dyDescent="0.25">
      <c r="A28" s="256"/>
      <c r="B28" s="256"/>
      <c r="C28" s="1492"/>
      <c r="D28" s="1493"/>
      <c r="E28" s="1494"/>
      <c r="F28" s="1504"/>
      <c r="G28" s="1517" t="s">
        <v>286</v>
      </c>
      <c r="H28" s="1517" t="s">
        <v>392</v>
      </c>
      <c r="I28" s="1518"/>
      <c r="J28" s="1517" t="s">
        <v>133</v>
      </c>
      <c r="K28" s="1518"/>
      <c r="L28" s="1517" t="s">
        <v>393</v>
      </c>
      <c r="M28" s="1505"/>
      <c r="N28" s="1517" t="s">
        <v>103</v>
      </c>
    </row>
    <row r="29" spans="1:17" x14ac:dyDescent="0.25">
      <c r="A29" s="256">
        <v>13</v>
      </c>
      <c r="B29" s="256" t="s">
        <v>888</v>
      </c>
      <c r="C29" s="1492"/>
      <c r="D29" s="1493"/>
      <c r="E29" s="1515" t="s">
        <v>873</v>
      </c>
      <c r="F29" s="1519"/>
      <c r="G29" s="1520"/>
      <c r="H29" s="1520" t="s">
        <v>60</v>
      </c>
      <c r="I29" s="1520"/>
      <c r="J29" s="1520" t="s">
        <v>60</v>
      </c>
      <c r="K29" s="1520"/>
      <c r="L29" s="1520" t="s">
        <v>60</v>
      </c>
      <c r="M29" s="1519"/>
      <c r="N29" s="1520" t="s">
        <v>60</v>
      </c>
      <c r="O29" s="164"/>
    </row>
    <row r="30" spans="1:17" x14ac:dyDescent="0.25">
      <c r="A30" s="256"/>
      <c r="B30" s="256"/>
      <c r="C30" s="1492"/>
      <c r="D30" s="1493"/>
      <c r="E30" s="1494" t="s">
        <v>319</v>
      </c>
      <c r="F30" s="1521"/>
      <c r="G30" s="1522" t="str">
        <f>""&amp;'Note 6 to 8'!E5&amp;""</f>
        <v>6.2</v>
      </c>
      <c r="H30" s="981" t="s">
        <v>908</v>
      </c>
      <c r="I30" s="981"/>
      <c r="J30" s="981" t="s">
        <v>908</v>
      </c>
      <c r="K30" s="981"/>
      <c r="L30" s="981" t="s">
        <v>908</v>
      </c>
      <c r="M30" s="1505"/>
      <c r="N30" s="1257">
        <f t="shared" ref="N30:N38" si="0">SUM(H30:K30)</f>
        <v>0</v>
      </c>
      <c r="P30" s="352"/>
    </row>
    <row r="31" spans="1:17" x14ac:dyDescent="0.25">
      <c r="A31" s="256"/>
      <c r="B31" s="256"/>
      <c r="C31" s="1492"/>
      <c r="D31" s="1493"/>
      <c r="E31" s="1494" t="s">
        <v>544</v>
      </c>
      <c r="F31" s="1521"/>
      <c r="G31" s="1522">
        <f>'Notes 2 to 5'!E566</f>
        <v>5.1999999999999993</v>
      </c>
      <c r="H31" s="981">
        <v>0</v>
      </c>
      <c r="I31" s="981"/>
      <c r="J31" s="981">
        <v>0</v>
      </c>
      <c r="K31" s="981"/>
      <c r="L31" s="981">
        <f>'Notes 2 to 5'!K570</f>
        <v>48200</v>
      </c>
      <c r="M31" s="1505"/>
      <c r="N31" s="1257">
        <f t="shared" si="0"/>
        <v>0</v>
      </c>
      <c r="P31" s="352"/>
    </row>
    <row r="32" spans="1:17" x14ac:dyDescent="0.25">
      <c r="A32" s="256"/>
      <c r="B32" s="256"/>
      <c r="C32" s="1492"/>
      <c r="D32" s="1493"/>
      <c r="E32" s="1494" t="s">
        <v>92</v>
      </c>
      <c r="F32" s="1523"/>
      <c r="G32" s="1522" t="str">
        <f>""&amp;'Note 6'!F5&amp;""</f>
        <v>6.1</v>
      </c>
      <c r="H32" s="981" t="s">
        <v>908</v>
      </c>
      <c r="I32" s="981"/>
      <c r="J32" s="981" t="s">
        <v>908</v>
      </c>
      <c r="K32" s="981"/>
      <c r="L32" s="981" t="s">
        <v>908</v>
      </c>
      <c r="M32" s="2332"/>
      <c r="N32" s="1257">
        <f t="shared" si="0"/>
        <v>0</v>
      </c>
      <c r="O32" s="328"/>
    </row>
    <row r="33" spans="1:17" s="474" customFormat="1" x14ac:dyDescent="0.25">
      <c r="A33" s="737"/>
      <c r="B33" s="737"/>
      <c r="C33" s="1492"/>
      <c r="D33" s="1493"/>
      <c r="E33" s="1524" t="s">
        <v>179</v>
      </c>
      <c r="F33" s="1523"/>
      <c r="G33" s="1522" t="str">
        <f>""&amp;'Note 6'!F5&amp;""</f>
        <v>6.1</v>
      </c>
      <c r="H33" s="981" t="s">
        <v>266</v>
      </c>
      <c r="I33" s="981"/>
      <c r="J33" s="981" t="s">
        <v>908</v>
      </c>
      <c r="K33" s="981"/>
      <c r="L33" s="981" t="s">
        <v>266</v>
      </c>
      <c r="M33" s="2332"/>
      <c r="N33" s="1257">
        <f t="shared" si="0"/>
        <v>0</v>
      </c>
      <c r="O33" s="328"/>
    </row>
    <row r="34" spans="1:17" x14ac:dyDescent="0.25">
      <c r="A34" s="256"/>
      <c r="B34" s="256"/>
      <c r="C34" s="1492"/>
      <c r="D34" s="1493"/>
      <c r="E34" s="1524" t="s">
        <v>93</v>
      </c>
      <c r="F34" s="1525"/>
      <c r="G34" s="1522" t="str">
        <f>""&amp;'Note 6'!F5&amp;""</f>
        <v>6.1</v>
      </c>
      <c r="H34" s="981" t="s">
        <v>908</v>
      </c>
      <c r="I34" s="981"/>
      <c r="J34" s="981" t="s">
        <v>908</v>
      </c>
      <c r="K34" s="981"/>
      <c r="L34" s="981" t="s">
        <v>908</v>
      </c>
      <c r="M34" s="2332"/>
      <c r="N34" s="1257">
        <f t="shared" si="0"/>
        <v>0</v>
      </c>
      <c r="O34" s="324"/>
    </row>
    <row r="35" spans="1:17" x14ac:dyDescent="0.25">
      <c r="A35" s="256"/>
      <c r="B35" s="256"/>
      <c r="C35" s="1492"/>
      <c r="D35" s="1493"/>
      <c r="E35" s="1524" t="s">
        <v>881</v>
      </c>
      <c r="F35" s="1514"/>
      <c r="G35" s="1522" t="str">
        <f>""&amp;'Note 6'!F5&amp;""</f>
        <v>6.1</v>
      </c>
      <c r="H35" s="981" t="s">
        <v>908</v>
      </c>
      <c r="I35" s="981"/>
      <c r="J35" s="981" t="s">
        <v>908</v>
      </c>
      <c r="K35" s="981"/>
      <c r="L35" s="981" t="s">
        <v>908</v>
      </c>
      <c r="M35" s="1526"/>
      <c r="N35" s="1257">
        <f t="shared" si="0"/>
        <v>0</v>
      </c>
      <c r="O35" s="324"/>
    </row>
    <row r="36" spans="1:17" x14ac:dyDescent="0.25">
      <c r="A36" s="256"/>
      <c r="B36" s="256"/>
      <c r="C36" s="1492"/>
      <c r="D36" s="1493"/>
      <c r="E36" s="1524" t="s">
        <v>614</v>
      </c>
      <c r="F36" s="1527"/>
      <c r="G36" s="1522" t="str">
        <f>""&amp;'Note 6'!F5&amp;""</f>
        <v>6.1</v>
      </c>
      <c r="H36" s="981" t="s">
        <v>908</v>
      </c>
      <c r="I36" s="981"/>
      <c r="J36" s="981" t="s">
        <v>908</v>
      </c>
      <c r="K36" s="981"/>
      <c r="L36" s="981" t="s">
        <v>908</v>
      </c>
      <c r="M36" s="1528"/>
      <c r="N36" s="1257">
        <f t="shared" si="0"/>
        <v>0</v>
      </c>
      <c r="O36" s="324"/>
    </row>
    <row r="37" spans="1:17" x14ac:dyDescent="0.25">
      <c r="A37" s="256"/>
      <c r="B37" s="256"/>
      <c r="C37" s="1492"/>
      <c r="D37" s="1493"/>
      <c r="E37" s="1524" t="s">
        <v>348</v>
      </c>
      <c r="F37" s="1527"/>
      <c r="G37" s="1522" t="str">
        <f>""&amp;'Note 6'!F5&amp;""</f>
        <v>6.1</v>
      </c>
      <c r="H37" s="981" t="s">
        <v>908</v>
      </c>
      <c r="I37" s="981"/>
      <c r="J37" s="981" t="s">
        <v>908</v>
      </c>
      <c r="K37" s="981"/>
      <c r="L37" s="981" t="s">
        <v>908</v>
      </c>
      <c r="M37" s="1528"/>
      <c r="N37" s="1257">
        <f t="shared" si="0"/>
        <v>0</v>
      </c>
      <c r="O37" s="324"/>
      <c r="Q37" s="348"/>
    </row>
    <row r="38" spans="1:17" x14ac:dyDescent="0.25">
      <c r="A38" s="256"/>
      <c r="B38" s="256"/>
      <c r="C38" s="1492"/>
      <c r="D38" s="1493"/>
      <c r="E38" s="1524" t="s">
        <v>728</v>
      </c>
      <c r="F38" s="1523"/>
      <c r="G38" s="1522" t="str">
        <f>""&amp;'Note 6'!F5&amp;""</f>
        <v>6.1</v>
      </c>
      <c r="H38" s="981" t="s">
        <v>908</v>
      </c>
      <c r="I38" s="981"/>
      <c r="J38" s="981" t="s">
        <v>908</v>
      </c>
      <c r="K38" s="981"/>
      <c r="L38" s="981" t="s">
        <v>908</v>
      </c>
      <c r="M38" s="2332"/>
      <c r="N38" s="1257">
        <f t="shared" si="0"/>
        <v>0</v>
      </c>
      <c r="O38" s="328"/>
    </row>
    <row r="39" spans="1:17" x14ac:dyDescent="0.25">
      <c r="A39" s="256"/>
      <c r="B39" s="256"/>
      <c r="C39" s="1492"/>
      <c r="D39" s="1493"/>
      <c r="E39" s="1524"/>
      <c r="F39" s="1525"/>
      <c r="G39" s="1529"/>
      <c r="H39" s="1324">
        <f>SUM(H30:H38)</f>
        <v>0</v>
      </c>
      <c r="I39" s="1324"/>
      <c r="J39" s="1324">
        <f>SUM(J30:J38)</f>
        <v>0</v>
      </c>
      <c r="K39" s="1324"/>
      <c r="L39" s="1324">
        <f>SUM(L30:L38)</f>
        <v>48200</v>
      </c>
      <c r="M39" s="2332"/>
      <c r="N39" s="1324">
        <f>SUM(N30:N38)</f>
        <v>0</v>
      </c>
      <c r="O39" s="324"/>
    </row>
    <row r="40" spans="1:17" ht="6" customHeight="1" x14ac:dyDescent="0.25">
      <c r="A40" s="256"/>
      <c r="B40" s="256"/>
      <c r="C40" s="1492"/>
      <c r="D40" s="1493"/>
      <c r="E40" s="1524"/>
      <c r="F40" s="1514"/>
      <c r="G40" s="1529"/>
      <c r="H40" s="1257"/>
      <c r="I40" s="1257"/>
      <c r="J40" s="1257"/>
      <c r="K40" s="1257"/>
      <c r="L40" s="1257"/>
      <c r="M40" s="1526"/>
      <c r="N40" s="1526"/>
      <c r="O40" s="324"/>
    </row>
    <row r="41" spans="1:17" x14ac:dyDescent="0.25">
      <c r="A41" s="256"/>
      <c r="B41" s="256"/>
      <c r="C41" s="1492"/>
      <c r="D41" s="1493"/>
      <c r="E41" s="1530" t="s">
        <v>874</v>
      </c>
      <c r="F41" s="1523"/>
      <c r="G41" s="1529"/>
      <c r="H41" s="1257"/>
      <c r="I41" s="1257"/>
      <c r="J41" s="1257"/>
      <c r="K41" s="1257"/>
      <c r="L41" s="1257"/>
      <c r="M41" s="2332"/>
      <c r="N41" s="1531"/>
      <c r="O41" s="328"/>
    </row>
    <row r="42" spans="1:17" x14ac:dyDescent="0.25">
      <c r="A42" s="256"/>
      <c r="B42" s="256"/>
      <c r="C42" s="1492"/>
      <c r="D42" s="1493"/>
      <c r="E42" s="1524" t="s">
        <v>134</v>
      </c>
      <c r="F42" s="1525"/>
      <c r="G42" s="1229" t="str">
        <f>""&amp;'Notes 2 to 5'!E485&amp;""</f>
        <v>4.5</v>
      </c>
      <c r="H42" s="1257">
        <f>+'Notes 2 to 5'!K488</f>
        <v>6</v>
      </c>
      <c r="I42" s="1257"/>
      <c r="J42" s="1257"/>
      <c r="K42" s="1257"/>
      <c r="L42" s="1257">
        <f>SUM(H42:K42)</f>
        <v>6</v>
      </c>
      <c r="M42" s="2332"/>
      <c r="N42" s="1257">
        <f>SUM(H42:K42)</f>
        <v>6</v>
      </c>
      <c r="O42" s="324"/>
    </row>
    <row r="43" spans="1:17" x14ac:dyDescent="0.25">
      <c r="A43" s="256"/>
      <c r="B43" s="256"/>
      <c r="C43" s="1492"/>
      <c r="D43" s="1493"/>
      <c r="E43" s="1524"/>
      <c r="F43" s="1514"/>
      <c r="G43" s="1529"/>
      <c r="H43" s="1324">
        <f>SUM(H42)</f>
        <v>6</v>
      </c>
      <c r="I43" s="1324"/>
      <c r="J43" s="1324">
        <f>SUM(J42)</f>
        <v>0</v>
      </c>
      <c r="K43" s="1324"/>
      <c r="L43" s="1324">
        <f>SUM(L42)</f>
        <v>6</v>
      </c>
      <c r="M43" s="1526"/>
      <c r="N43" s="1324">
        <f>SUM(N35:N42)</f>
        <v>6</v>
      </c>
      <c r="O43" s="324"/>
    </row>
    <row r="44" spans="1:17" ht="6" customHeight="1" x14ac:dyDescent="0.25">
      <c r="A44" s="256"/>
      <c r="B44" s="256"/>
      <c r="C44" s="1492"/>
      <c r="D44" s="1493"/>
      <c r="E44" s="1524"/>
      <c r="F44" s="1514"/>
      <c r="G44" s="1529"/>
      <c r="H44" s="1257"/>
      <c r="I44" s="1257"/>
      <c r="J44" s="1257"/>
      <c r="K44" s="1257"/>
      <c r="L44" s="1257"/>
      <c r="M44" s="1526"/>
      <c r="N44" s="1526"/>
      <c r="O44" s="324"/>
    </row>
    <row r="45" spans="1:17" x14ac:dyDescent="0.25">
      <c r="A45" s="256"/>
      <c r="B45" s="256"/>
      <c r="C45" s="1498" t="s">
        <v>286</v>
      </c>
      <c r="D45" s="1499">
        <f>+$D$4</f>
        <v>9.1199999999999992</v>
      </c>
      <c r="E45" s="1512" t="s">
        <v>1562</v>
      </c>
      <c r="F45" s="1504"/>
      <c r="G45" s="1529"/>
      <c r="H45" s="1257"/>
      <c r="I45" s="1257"/>
      <c r="J45" s="1257"/>
      <c r="K45" s="1257"/>
      <c r="L45" s="1257"/>
      <c r="M45" s="1526"/>
      <c r="N45" s="1526"/>
      <c r="O45" s="324"/>
      <c r="Q45" s="312" t="s">
        <v>2052</v>
      </c>
    </row>
    <row r="46" spans="1:17" x14ac:dyDescent="0.25">
      <c r="A46" s="256"/>
      <c r="B46" s="256"/>
      <c r="C46" s="1492"/>
      <c r="D46" s="1512" t="s">
        <v>942</v>
      </c>
      <c r="E46" s="1512" t="s">
        <v>1563</v>
      </c>
      <c r="F46" s="1514"/>
      <c r="G46" s="1529"/>
      <c r="H46" s="1257"/>
      <c r="I46" s="1257"/>
      <c r="J46" s="1257"/>
      <c r="K46" s="1257"/>
      <c r="L46" s="1257"/>
      <c r="M46" s="1526"/>
      <c r="N46" s="1526"/>
      <c r="O46" s="324"/>
      <c r="Q46" s="312" t="s">
        <v>2052</v>
      </c>
    </row>
    <row r="47" spans="1:17" x14ac:dyDescent="0.25">
      <c r="A47" s="256"/>
      <c r="B47" s="256"/>
      <c r="C47" s="1492"/>
      <c r="D47" s="1493"/>
      <c r="E47" s="1530" t="str">
        <f>'Merge Details_Printing instr'!A17</f>
        <v>As at 30 June 2023</v>
      </c>
      <c r="F47" s="1516"/>
      <c r="G47" s="1496"/>
      <c r="H47" s="1496"/>
      <c r="I47" s="1505"/>
      <c r="J47" s="1497"/>
      <c r="K47" s="1496"/>
      <c r="L47" s="1493"/>
      <c r="M47" s="1505"/>
      <c r="N47" s="1496"/>
      <c r="O47" s="324"/>
    </row>
    <row r="48" spans="1:17" x14ac:dyDescent="0.25">
      <c r="A48" s="256"/>
      <c r="B48" s="256"/>
      <c r="C48" s="1492"/>
      <c r="D48" s="1493"/>
      <c r="E48" s="1524"/>
      <c r="F48" s="1504"/>
      <c r="G48" s="1517" t="s">
        <v>286</v>
      </c>
      <c r="H48" s="1517" t="s">
        <v>392</v>
      </c>
      <c r="I48" s="1518"/>
      <c r="J48" s="1517" t="s">
        <v>133</v>
      </c>
      <c r="K48" s="1518"/>
      <c r="L48" s="1517" t="s">
        <v>393</v>
      </c>
      <c r="M48" s="1505"/>
      <c r="N48" s="1517" t="s">
        <v>103</v>
      </c>
      <c r="O48" s="324"/>
      <c r="Q48" s="406"/>
    </row>
    <row r="49" spans="1:15" x14ac:dyDescent="0.25">
      <c r="A49" s="256"/>
      <c r="B49" s="256"/>
      <c r="C49" s="1492"/>
      <c r="D49" s="1493"/>
      <c r="E49" s="1530" t="s">
        <v>873</v>
      </c>
      <c r="F49" s="1519"/>
      <c r="G49" s="1532"/>
      <c r="H49" s="1520" t="s">
        <v>60</v>
      </c>
      <c r="I49" s="1520"/>
      <c r="J49" s="1520" t="s">
        <v>60</v>
      </c>
      <c r="K49" s="1520"/>
      <c r="L49" s="1520" t="s">
        <v>60</v>
      </c>
      <c r="M49" s="1519"/>
      <c r="N49" s="1520" t="s">
        <v>60</v>
      </c>
      <c r="O49" s="324"/>
    </row>
    <row r="50" spans="1:15" x14ac:dyDescent="0.25">
      <c r="A50" s="256"/>
      <c r="B50" s="256"/>
      <c r="C50" s="1492"/>
      <c r="D50" s="1493"/>
      <c r="E50" s="1524" t="s">
        <v>319</v>
      </c>
      <c r="F50" s="1521"/>
      <c r="G50" s="1522" t="str">
        <f>G30</f>
        <v>6.2</v>
      </c>
      <c r="H50" s="981" t="s">
        <v>908</v>
      </c>
      <c r="I50" s="981"/>
      <c r="J50" s="981" t="s">
        <v>908</v>
      </c>
      <c r="K50" s="981"/>
      <c r="L50" s="981" t="s">
        <v>908</v>
      </c>
      <c r="M50" s="1505"/>
      <c r="N50" s="1257">
        <f t="shared" ref="N50:N58" si="1">SUM(H50:K50)</f>
        <v>0</v>
      </c>
      <c r="O50" s="324"/>
    </row>
    <row r="51" spans="1:15" x14ac:dyDescent="0.25">
      <c r="A51" s="256"/>
      <c r="B51" s="256"/>
      <c r="C51" s="1492"/>
      <c r="D51" s="1493"/>
      <c r="E51" s="1524" t="s">
        <v>544</v>
      </c>
      <c r="F51" s="1521"/>
      <c r="G51" s="1522">
        <f>'Notes 2 to 5'!E566</f>
        <v>5.1999999999999993</v>
      </c>
      <c r="H51" s="981">
        <v>0</v>
      </c>
      <c r="I51" s="981"/>
      <c r="J51" s="981">
        <v>0</v>
      </c>
      <c r="K51" s="981"/>
      <c r="L51" s="981">
        <f>'Notes 2 to 5'!M570</f>
        <v>48090</v>
      </c>
      <c r="M51" s="1505"/>
      <c r="N51" s="1257">
        <f>SUM(H51:K51)</f>
        <v>0</v>
      </c>
      <c r="O51" s="324"/>
    </row>
    <row r="52" spans="1:15" x14ac:dyDescent="0.25">
      <c r="A52" s="256"/>
      <c r="B52" s="256"/>
      <c r="C52" s="1492"/>
      <c r="D52" s="1493"/>
      <c r="E52" s="1524" t="s">
        <v>92</v>
      </c>
      <c r="F52" s="1523"/>
      <c r="G52" s="1522" t="str">
        <f>G32</f>
        <v>6.1</v>
      </c>
      <c r="H52" s="981" t="s">
        <v>908</v>
      </c>
      <c r="I52" s="981"/>
      <c r="J52" s="981" t="s">
        <v>908</v>
      </c>
      <c r="K52" s="981"/>
      <c r="L52" s="981" t="s">
        <v>908</v>
      </c>
      <c r="M52" s="2332"/>
      <c r="N52" s="1257">
        <f t="shared" si="1"/>
        <v>0</v>
      </c>
      <c r="O52" s="324"/>
    </row>
    <row r="53" spans="1:15" s="474" customFormat="1" x14ac:dyDescent="0.25">
      <c r="A53" s="737"/>
      <c r="B53" s="737"/>
      <c r="C53" s="1492"/>
      <c r="D53" s="1493"/>
      <c r="E53" s="1524" t="s">
        <v>179</v>
      </c>
      <c r="F53" s="1523"/>
      <c r="G53" s="1522" t="str">
        <f>G33</f>
        <v>6.1</v>
      </c>
      <c r="H53" s="981" t="s">
        <v>266</v>
      </c>
      <c r="I53" s="981"/>
      <c r="J53" s="981" t="s">
        <v>908</v>
      </c>
      <c r="K53" s="981"/>
      <c r="L53" s="981" t="s">
        <v>266</v>
      </c>
      <c r="M53" s="2332"/>
      <c r="N53" s="1257">
        <f t="shared" si="1"/>
        <v>0</v>
      </c>
      <c r="O53" s="476"/>
    </row>
    <row r="54" spans="1:15" x14ac:dyDescent="0.25">
      <c r="A54" s="256"/>
      <c r="B54" s="256"/>
      <c r="C54" s="1492"/>
      <c r="D54" s="1493"/>
      <c r="E54" s="1494" t="s">
        <v>93</v>
      </c>
      <c r="F54" s="1525"/>
      <c r="G54" s="1522" t="str">
        <f t="shared" ref="G54:G58" si="2">G34</f>
        <v>6.1</v>
      </c>
      <c r="H54" s="981" t="s">
        <v>908</v>
      </c>
      <c r="I54" s="981"/>
      <c r="J54" s="981" t="s">
        <v>908</v>
      </c>
      <c r="K54" s="981"/>
      <c r="L54" s="981" t="s">
        <v>908</v>
      </c>
      <c r="M54" s="2332"/>
      <c r="N54" s="1257">
        <f t="shared" si="1"/>
        <v>0</v>
      </c>
      <c r="O54" s="324"/>
    </row>
    <row r="55" spans="1:15" x14ac:dyDescent="0.25">
      <c r="A55" s="256"/>
      <c r="B55" s="256"/>
      <c r="C55" s="1492"/>
      <c r="D55" s="1493"/>
      <c r="E55" s="1494" t="s">
        <v>881</v>
      </c>
      <c r="F55" s="1514"/>
      <c r="G55" s="1522" t="str">
        <f t="shared" si="2"/>
        <v>6.1</v>
      </c>
      <c r="H55" s="981" t="s">
        <v>908</v>
      </c>
      <c r="I55" s="981"/>
      <c r="J55" s="981" t="s">
        <v>908</v>
      </c>
      <c r="K55" s="981"/>
      <c r="L55" s="981" t="s">
        <v>908</v>
      </c>
      <c r="M55" s="1526"/>
      <c r="N55" s="1257">
        <f t="shared" si="1"/>
        <v>0</v>
      </c>
      <c r="O55" s="324"/>
    </row>
    <row r="56" spans="1:15" x14ac:dyDescent="0.25">
      <c r="A56" s="256"/>
      <c r="B56" s="256"/>
      <c r="C56" s="1492"/>
      <c r="D56" s="1493"/>
      <c r="E56" s="1494" t="s">
        <v>614</v>
      </c>
      <c r="F56" s="1527"/>
      <c r="G56" s="1522" t="str">
        <f t="shared" si="2"/>
        <v>6.1</v>
      </c>
      <c r="H56" s="981" t="s">
        <v>908</v>
      </c>
      <c r="I56" s="981"/>
      <c r="J56" s="981" t="s">
        <v>908</v>
      </c>
      <c r="K56" s="981"/>
      <c r="L56" s="981" t="s">
        <v>908</v>
      </c>
      <c r="M56" s="1528"/>
      <c r="N56" s="1257">
        <f t="shared" si="1"/>
        <v>0</v>
      </c>
      <c r="O56" s="324"/>
    </row>
    <row r="57" spans="1:15" x14ac:dyDescent="0.25">
      <c r="A57" s="256"/>
      <c r="B57" s="256"/>
      <c r="C57" s="1492"/>
      <c r="D57" s="1493"/>
      <c r="E57" s="1494" t="s">
        <v>348</v>
      </c>
      <c r="F57" s="1527"/>
      <c r="G57" s="1522" t="str">
        <f t="shared" si="2"/>
        <v>6.1</v>
      </c>
      <c r="H57" s="981" t="s">
        <v>908</v>
      </c>
      <c r="I57" s="981"/>
      <c r="J57" s="981" t="s">
        <v>908</v>
      </c>
      <c r="K57" s="981"/>
      <c r="L57" s="981" t="s">
        <v>908</v>
      </c>
      <c r="M57" s="1528"/>
      <c r="N57" s="1257">
        <f t="shared" si="1"/>
        <v>0</v>
      </c>
      <c r="O57" s="324"/>
    </row>
    <row r="58" spans="1:15" x14ac:dyDescent="0.25">
      <c r="A58" s="256"/>
      <c r="B58" s="256"/>
      <c r="C58" s="1492"/>
      <c r="D58" s="1493"/>
      <c r="E58" s="1494" t="s">
        <v>728</v>
      </c>
      <c r="F58" s="1523"/>
      <c r="G58" s="1522" t="str">
        <f t="shared" si="2"/>
        <v>6.1</v>
      </c>
      <c r="H58" s="981" t="s">
        <v>908</v>
      </c>
      <c r="I58" s="981"/>
      <c r="J58" s="981" t="s">
        <v>908</v>
      </c>
      <c r="K58" s="1257"/>
      <c r="L58" s="981" t="s">
        <v>908</v>
      </c>
      <c r="M58" s="2332"/>
      <c r="N58" s="1257">
        <f t="shared" si="1"/>
        <v>0</v>
      </c>
      <c r="O58" s="324"/>
    </row>
    <row r="59" spans="1:15" x14ac:dyDescent="0.25">
      <c r="A59" s="256"/>
      <c r="B59" s="256"/>
      <c r="C59" s="1492"/>
      <c r="D59" s="1493"/>
      <c r="E59" s="1494"/>
      <c r="F59" s="1525"/>
      <c r="G59" s="1529"/>
      <c r="H59" s="1324">
        <f>SUM(H50:H58)</f>
        <v>0</v>
      </c>
      <c r="I59" s="1324"/>
      <c r="J59" s="1324">
        <f>SUM(J50:J58)</f>
        <v>0</v>
      </c>
      <c r="K59" s="1324"/>
      <c r="L59" s="1324">
        <f>SUM(L50:L58)</f>
        <v>48090</v>
      </c>
      <c r="M59" s="2332"/>
      <c r="N59" s="1324">
        <f>SUM(N50:N58)</f>
        <v>0</v>
      </c>
      <c r="O59" s="324"/>
    </row>
    <row r="60" spans="1:15" ht="6" customHeight="1" x14ac:dyDescent="0.25">
      <c r="A60" s="256"/>
      <c r="B60" s="256"/>
      <c r="C60" s="1492"/>
      <c r="D60" s="1493"/>
      <c r="E60" s="1494"/>
      <c r="F60" s="1514"/>
      <c r="G60" s="1529"/>
      <c r="H60" s="1257"/>
      <c r="I60" s="1257"/>
      <c r="J60" s="1257"/>
      <c r="K60" s="1257"/>
      <c r="L60" s="1257"/>
      <c r="M60" s="1526"/>
      <c r="N60" s="1526"/>
      <c r="O60" s="324"/>
    </row>
    <row r="61" spans="1:15" x14ac:dyDescent="0.25">
      <c r="A61" s="256"/>
      <c r="B61" s="256"/>
      <c r="C61" s="1492"/>
      <c r="D61" s="1493"/>
      <c r="E61" s="1515" t="s">
        <v>874</v>
      </c>
      <c r="F61" s="1523"/>
      <c r="G61" s="1529"/>
      <c r="H61" s="1257"/>
      <c r="I61" s="1257"/>
      <c r="J61" s="1257"/>
      <c r="K61" s="1257"/>
      <c r="L61" s="1257"/>
      <c r="M61" s="2332"/>
      <c r="N61" s="1531"/>
      <c r="O61" s="324"/>
    </row>
    <row r="62" spans="1:15" x14ac:dyDescent="0.25">
      <c r="A62" s="256"/>
      <c r="B62" s="256"/>
      <c r="C62" s="1492"/>
      <c r="D62" s="1493"/>
      <c r="E62" s="1494" t="s">
        <v>134</v>
      </c>
      <c r="F62" s="1525"/>
      <c r="G62" s="1229" t="str">
        <f>G42</f>
        <v>4.5</v>
      </c>
      <c r="H62" s="1257">
        <f>+'Note 6 to 8'!Q104</f>
        <v>0</v>
      </c>
      <c r="I62" s="1257"/>
      <c r="J62" s="1257"/>
      <c r="K62" s="1257"/>
      <c r="L62" s="1257">
        <f>SUM(H62:K62)</f>
        <v>0</v>
      </c>
      <c r="M62" s="2332"/>
      <c r="N62" s="1257">
        <f>SUM(H62:K62)</f>
        <v>0</v>
      </c>
      <c r="O62" s="324"/>
    </row>
    <row r="63" spans="1:15" x14ac:dyDescent="0.25">
      <c r="A63" s="256"/>
      <c r="B63" s="256"/>
      <c r="C63" s="1492"/>
      <c r="D63" s="1493"/>
      <c r="E63" s="1494"/>
      <c r="F63" s="1514"/>
      <c r="G63" s="1529"/>
      <c r="H63" s="1324">
        <f>SUM(H62)</f>
        <v>0</v>
      </c>
      <c r="I63" s="1324"/>
      <c r="J63" s="1324">
        <f>SUM(J62)</f>
        <v>0</v>
      </c>
      <c r="K63" s="1324"/>
      <c r="L63" s="1324">
        <f>SUM(L62)</f>
        <v>0</v>
      </c>
      <c r="M63" s="1526"/>
      <c r="N63" s="1324">
        <f>SUM(N55:N62)</f>
        <v>0</v>
      </c>
      <c r="O63" s="324"/>
    </row>
    <row r="64" spans="1:15" s="474" customFormat="1" ht="10.5" customHeight="1" x14ac:dyDescent="0.25">
      <c r="A64" s="596"/>
      <c r="B64" s="596"/>
      <c r="C64" s="1492"/>
      <c r="D64" s="1493"/>
      <c r="E64" s="1494"/>
      <c r="F64" s="1514"/>
      <c r="G64" s="1529"/>
      <c r="H64" s="1257"/>
      <c r="I64" s="1257"/>
      <c r="J64" s="1257"/>
      <c r="K64" s="1257"/>
      <c r="L64" s="1257"/>
      <c r="M64" s="1526"/>
      <c r="N64" s="1257"/>
      <c r="O64" s="476"/>
    </row>
    <row r="65" spans="1:17" s="474" customFormat="1" x14ac:dyDescent="0.25">
      <c r="A65" s="640"/>
      <c r="B65" s="640"/>
      <c r="C65" s="1492"/>
      <c r="D65" s="1493"/>
      <c r="E65" s="1494"/>
      <c r="F65" s="1514"/>
      <c r="G65" s="1529"/>
      <c r="H65" s="1257"/>
      <c r="I65" s="1257"/>
      <c r="J65" s="1257"/>
      <c r="K65" s="1257"/>
      <c r="L65" s="1257"/>
      <c r="M65" s="1526"/>
      <c r="N65" s="1526"/>
      <c r="O65" s="476"/>
    </row>
    <row r="66" spans="1:17" x14ac:dyDescent="0.25">
      <c r="A66" s="256"/>
      <c r="B66" s="256"/>
      <c r="C66" s="1492"/>
      <c r="D66" s="1493"/>
      <c r="E66" s="1533" t="s">
        <v>933</v>
      </c>
      <c r="F66" s="1496"/>
      <c r="G66" s="1529"/>
      <c r="H66" s="1526"/>
      <c r="I66" s="1528"/>
      <c r="J66" s="1534"/>
      <c r="K66" s="1526"/>
      <c r="L66" s="1529"/>
      <c r="M66" s="1528"/>
      <c r="N66" s="1526"/>
      <c r="O66" s="324"/>
    </row>
    <row r="67" spans="1:17" ht="46.5" customHeight="1" x14ac:dyDescent="0.25">
      <c r="A67" s="341">
        <v>13</v>
      </c>
      <c r="B67" s="256">
        <v>95</v>
      </c>
      <c r="C67" s="1492"/>
      <c r="D67" s="1493"/>
      <c r="E67" s="2333" t="s">
        <v>1885</v>
      </c>
      <c r="F67" s="2333"/>
      <c r="G67" s="2333"/>
      <c r="H67" s="2333"/>
      <c r="I67" s="2333"/>
      <c r="J67" s="2333"/>
      <c r="K67" s="2333"/>
      <c r="L67" s="2333"/>
      <c r="M67" s="2333"/>
      <c r="N67" s="2333"/>
      <c r="O67" s="324"/>
    </row>
    <row r="68" spans="1:17" ht="36" customHeight="1" x14ac:dyDescent="0.25">
      <c r="A68" s="256">
        <v>13</v>
      </c>
      <c r="B68" s="256" t="s">
        <v>875</v>
      </c>
      <c r="C68" s="1496"/>
      <c r="D68" s="1493"/>
      <c r="E68" s="2317" t="s">
        <v>934</v>
      </c>
      <c r="F68" s="2317"/>
      <c r="G68" s="2317"/>
      <c r="H68" s="2317"/>
      <c r="I68" s="2317"/>
      <c r="J68" s="2317"/>
      <c r="K68" s="2317"/>
      <c r="L68" s="2317"/>
      <c r="M68" s="2317"/>
      <c r="N68" s="2317"/>
      <c r="O68" s="324"/>
    </row>
    <row r="69" spans="1:17" x14ac:dyDescent="0.25">
      <c r="A69" s="256"/>
      <c r="B69" s="256"/>
      <c r="C69" s="1496"/>
      <c r="D69" s="1493"/>
      <c r="E69" s="1535" t="s">
        <v>935</v>
      </c>
      <c r="F69" s="1514"/>
      <c r="G69" s="1496"/>
      <c r="H69" s="2321">
        <f>'Merge Details_Printing instr'!A19</f>
        <v>2024</v>
      </c>
      <c r="I69" s="2321"/>
      <c r="J69" s="2321">
        <f>'Merge Details_Printing instr'!A20</f>
        <v>2023</v>
      </c>
      <c r="K69" s="2322"/>
      <c r="L69" s="2322"/>
      <c r="M69" s="1504"/>
      <c r="N69" s="1504"/>
      <c r="O69" s="324"/>
      <c r="Q69" s="614"/>
    </row>
    <row r="70" spans="1:17" x14ac:dyDescent="0.25">
      <c r="A70" s="256"/>
      <c r="B70" s="256"/>
      <c r="C70" s="1496"/>
      <c r="D70" s="1493"/>
      <c r="E70" s="1536" t="s">
        <v>938</v>
      </c>
      <c r="F70" s="1537"/>
      <c r="G70" s="1537"/>
      <c r="H70" s="2324" t="str">
        <f>'Merge Details_Printing instr'!$A$24</f>
        <v>$'000</v>
      </c>
      <c r="I70" s="2324"/>
      <c r="J70" s="2324" t="str">
        <f>'Merge Details_Printing instr'!$A$24</f>
        <v>$'000</v>
      </c>
      <c r="K70" s="2324"/>
      <c r="L70" s="2324"/>
      <c r="M70" s="1504"/>
      <c r="N70" s="1504"/>
      <c r="O70" s="324"/>
    </row>
    <row r="71" spans="1:17" x14ac:dyDescent="0.25">
      <c r="A71" s="256"/>
      <c r="B71" s="256"/>
      <c r="C71" s="1496"/>
      <c r="D71" s="1493"/>
      <c r="E71" s="1538" t="s">
        <v>937</v>
      </c>
      <c r="F71" s="1539"/>
      <c r="G71" s="1539"/>
      <c r="H71" s="1540"/>
      <c r="I71" s="1540"/>
      <c r="J71" s="2323"/>
      <c r="K71" s="2323"/>
      <c r="L71" s="2323"/>
      <c r="M71" s="1504"/>
      <c r="N71" s="1504"/>
      <c r="O71" s="324"/>
    </row>
    <row r="72" spans="1:17" ht="4.5" customHeight="1" x14ac:dyDescent="0.25">
      <c r="A72" s="256"/>
      <c r="B72" s="256"/>
      <c r="C72" s="1496"/>
      <c r="D72" s="1493"/>
      <c r="E72" s="1541"/>
      <c r="F72" s="1514"/>
      <c r="G72" s="1514"/>
      <c r="H72" s="1514"/>
      <c r="I72" s="1514"/>
      <c r="J72" s="1514"/>
      <c r="K72" s="1514"/>
      <c r="L72" s="1514"/>
      <c r="M72" s="1504"/>
      <c r="N72" s="1504"/>
      <c r="O72" s="324"/>
    </row>
    <row r="73" spans="1:17" ht="4.5" customHeight="1" x14ac:dyDescent="0.25">
      <c r="A73" s="256"/>
      <c r="B73" s="256"/>
      <c r="C73" s="1496"/>
      <c r="D73" s="1493"/>
      <c r="E73" s="1541"/>
      <c r="F73" s="1514"/>
      <c r="G73" s="1514"/>
      <c r="H73" s="1514"/>
      <c r="I73" s="1514"/>
      <c r="J73" s="1514"/>
      <c r="K73" s="1514"/>
      <c r="L73" s="1514"/>
      <c r="M73" s="1504"/>
      <c r="N73" s="1504"/>
      <c r="O73" s="324"/>
    </row>
    <row r="74" spans="1:17" x14ac:dyDescent="0.25">
      <c r="A74" s="256"/>
      <c r="B74" s="256"/>
      <c r="C74" s="1496"/>
      <c r="D74" s="1493"/>
      <c r="E74" s="1535" t="s">
        <v>939</v>
      </c>
      <c r="F74" s="1514"/>
      <c r="G74" s="1514"/>
      <c r="H74" s="2321">
        <f>H69</f>
        <v>2024</v>
      </c>
      <c r="I74" s="2321"/>
      <c r="J74" s="2321">
        <f>J69</f>
        <v>2023</v>
      </c>
      <c r="K74" s="2322"/>
      <c r="L74" s="2322"/>
      <c r="M74" s="1504"/>
      <c r="N74" s="1504"/>
      <c r="O74" s="324"/>
    </row>
    <row r="75" spans="1:17" x14ac:dyDescent="0.25">
      <c r="A75" s="256"/>
      <c r="B75" s="256"/>
      <c r="C75" s="1496"/>
      <c r="D75" s="1493"/>
      <c r="E75" s="1536" t="s">
        <v>938</v>
      </c>
      <c r="F75" s="1537"/>
      <c r="G75" s="1537"/>
      <c r="H75" s="2324" t="str">
        <f>'Merge Details_Printing instr'!$A$24</f>
        <v>$'000</v>
      </c>
      <c r="I75" s="2324"/>
      <c r="J75" s="2324" t="str">
        <f>'Merge Details_Printing instr'!$A$24</f>
        <v>$'000</v>
      </c>
      <c r="K75" s="2324"/>
      <c r="L75" s="2324"/>
      <c r="M75" s="1504"/>
      <c r="N75" s="1504"/>
      <c r="O75" s="324"/>
    </row>
    <row r="76" spans="1:17" x14ac:dyDescent="0.25">
      <c r="A76" s="256"/>
      <c r="B76" s="256"/>
      <c r="C76" s="1496"/>
      <c r="D76" s="1493"/>
      <c r="E76" s="1538" t="s">
        <v>937</v>
      </c>
      <c r="F76" s="1514"/>
      <c r="G76" s="1540"/>
      <c r="H76" s="1540"/>
      <c r="I76" s="1540"/>
      <c r="J76" s="2323"/>
      <c r="K76" s="2323"/>
      <c r="L76" s="2323"/>
      <c r="M76" s="1504"/>
      <c r="N76" s="1504"/>
      <c r="O76" s="324"/>
    </row>
    <row r="77" spans="1:17" ht="7.5" customHeight="1" x14ac:dyDescent="0.25">
      <c r="A77" s="256"/>
      <c r="B77" s="256"/>
      <c r="C77" s="1492"/>
      <c r="D77" s="1493"/>
      <c r="E77" s="1541"/>
      <c r="F77" s="1514"/>
      <c r="G77" s="1542"/>
      <c r="H77" s="1542"/>
      <c r="I77" s="1542"/>
      <c r="J77" s="1542"/>
      <c r="K77" s="1542"/>
      <c r="L77" s="1542"/>
      <c r="M77" s="1504"/>
      <c r="N77" s="1504"/>
      <c r="O77" s="324"/>
    </row>
    <row r="78" spans="1:17" x14ac:dyDescent="0.25">
      <c r="A78" s="256"/>
      <c r="B78" s="256"/>
      <c r="C78" s="1492"/>
      <c r="D78" s="1493"/>
      <c r="E78" s="1543" t="s">
        <v>936</v>
      </c>
      <c r="F78" s="1504"/>
      <c r="G78" s="1504"/>
      <c r="H78" s="1504"/>
      <c r="I78" s="1504"/>
      <c r="J78" s="1504"/>
      <c r="K78" s="1504"/>
      <c r="L78" s="1504"/>
      <c r="M78" s="1504"/>
      <c r="N78" s="1504"/>
      <c r="O78" s="324"/>
    </row>
    <row r="79" spans="1:17" x14ac:dyDescent="0.25">
      <c r="A79" s="256">
        <v>13</v>
      </c>
      <c r="B79" s="256" t="s">
        <v>1287</v>
      </c>
      <c r="C79" s="1492"/>
      <c r="D79" s="1493"/>
      <c r="E79" s="1544" t="s">
        <v>949</v>
      </c>
      <c r="F79" s="1504"/>
      <c r="G79" s="1504"/>
      <c r="H79" s="1504"/>
      <c r="I79" s="1504"/>
      <c r="J79" s="1504"/>
      <c r="K79" s="1504"/>
      <c r="L79" s="1504"/>
      <c r="M79" s="1504"/>
      <c r="N79" s="1504"/>
      <c r="O79" s="324"/>
    </row>
    <row r="80" spans="1:17" x14ac:dyDescent="0.25">
      <c r="A80" s="256"/>
      <c r="B80" s="508" t="s">
        <v>1288</v>
      </c>
      <c r="C80" s="1492"/>
      <c r="D80" s="1493"/>
      <c r="E80" s="2317" t="s">
        <v>866</v>
      </c>
      <c r="F80" s="2317"/>
      <c r="G80" s="2317"/>
      <c r="H80" s="2317"/>
      <c r="I80" s="2317"/>
      <c r="J80" s="2317"/>
      <c r="K80" s="2317"/>
      <c r="L80" s="2317"/>
      <c r="M80" s="2317"/>
      <c r="N80" s="2317"/>
      <c r="O80" s="306"/>
    </row>
    <row r="81" spans="1:17" x14ac:dyDescent="0.25">
      <c r="A81" s="256"/>
      <c r="B81" s="256"/>
      <c r="C81" s="1498"/>
      <c r="D81" s="1499"/>
      <c r="E81" s="1512"/>
      <c r="F81" s="1504"/>
      <c r="G81" s="1496"/>
      <c r="H81" s="1500"/>
      <c r="I81" s="1500"/>
      <c r="J81" s="1500"/>
      <c r="K81" s="1500"/>
      <c r="L81" s="1500"/>
      <c r="M81" s="1500"/>
      <c r="N81" s="1500"/>
      <c r="O81" s="334"/>
      <c r="P81" s="330"/>
    </row>
    <row r="82" spans="1:17" x14ac:dyDescent="0.25">
      <c r="A82" s="341">
        <v>13</v>
      </c>
      <c r="B82" s="341" t="s">
        <v>883</v>
      </c>
      <c r="C82" s="1545"/>
      <c r="D82" s="1512" t="s">
        <v>90</v>
      </c>
      <c r="E82" s="1546" t="s">
        <v>941</v>
      </c>
      <c r="F82" s="1496"/>
      <c r="G82" s="1547"/>
      <c r="H82" s="1548"/>
      <c r="I82" s="1548"/>
      <c r="J82" s="1548"/>
      <c r="K82" s="1547"/>
      <c r="L82" s="1548"/>
      <c r="M82" s="1549"/>
      <c r="N82" s="1549"/>
      <c r="O82" s="306"/>
    </row>
    <row r="83" spans="1:17" ht="66.75" customHeight="1" x14ac:dyDescent="0.25">
      <c r="A83" s="341"/>
      <c r="B83" s="341"/>
      <c r="C83" s="1545"/>
      <c r="D83" s="1529"/>
      <c r="E83" s="2316" t="s">
        <v>1886</v>
      </c>
      <c r="F83" s="2316"/>
      <c r="G83" s="2316"/>
      <c r="H83" s="2316"/>
      <c r="I83" s="2316"/>
      <c r="J83" s="2316"/>
      <c r="K83" s="2316"/>
      <c r="L83" s="2316"/>
      <c r="M83" s="2316"/>
      <c r="N83" s="2316"/>
      <c r="O83" s="362"/>
    </row>
    <row r="84" spans="1:17" x14ac:dyDescent="0.25">
      <c r="A84" s="341"/>
      <c r="B84" s="341"/>
      <c r="C84" s="1545"/>
      <c r="D84" s="1529"/>
      <c r="E84" s="1496"/>
      <c r="F84" s="1550"/>
      <c r="G84" s="1547"/>
      <c r="H84" s="1548"/>
      <c r="I84" s="1548"/>
      <c r="J84" s="1548"/>
      <c r="K84" s="1547"/>
      <c r="L84" s="1548"/>
      <c r="M84" s="1549"/>
      <c r="N84" s="1549"/>
      <c r="O84" s="362"/>
    </row>
    <row r="85" spans="1:17" ht="16.5" customHeight="1" x14ac:dyDescent="0.25">
      <c r="A85" s="341">
        <v>13</v>
      </c>
      <c r="B85" s="341" t="s">
        <v>876</v>
      </c>
      <c r="C85" s="1545"/>
      <c r="D85" s="1512" t="s">
        <v>940</v>
      </c>
      <c r="E85" s="1515" t="s">
        <v>932</v>
      </c>
      <c r="F85" s="1515"/>
      <c r="G85" s="1515"/>
      <c r="H85" s="1515"/>
      <c r="I85" s="1515"/>
      <c r="J85" s="1515"/>
      <c r="K85" s="1515"/>
      <c r="L85" s="1496"/>
      <c r="M85" s="1549"/>
      <c r="N85" s="1549"/>
      <c r="O85" s="306"/>
    </row>
    <row r="86" spans="1:17" ht="7.5" customHeight="1" x14ac:dyDescent="0.25">
      <c r="A86" s="341"/>
      <c r="B86" s="341"/>
      <c r="C86" s="1545"/>
      <c r="D86" s="1529"/>
      <c r="E86" s="1512"/>
      <c r="F86" s="1516"/>
      <c r="G86" s="1516"/>
      <c r="H86" s="1516"/>
      <c r="I86" s="1516"/>
      <c r="J86" s="1516"/>
      <c r="K86" s="1516"/>
      <c r="L86" s="1516"/>
      <c r="M86" s="1549"/>
      <c r="N86" s="1549"/>
      <c r="O86" s="309"/>
    </row>
    <row r="87" spans="1:17" ht="41.25" customHeight="1" x14ac:dyDescent="0.25">
      <c r="A87" s="341">
        <v>13</v>
      </c>
      <c r="B87" s="341" t="s">
        <v>876</v>
      </c>
      <c r="C87" s="1545"/>
      <c r="D87" s="1529"/>
      <c r="E87" s="2331" t="s">
        <v>1887</v>
      </c>
      <c r="F87" s="2331"/>
      <c r="G87" s="2331"/>
      <c r="H87" s="2331"/>
      <c r="I87" s="2331"/>
      <c r="J87" s="2331"/>
      <c r="K87" s="2331"/>
      <c r="L87" s="2331"/>
      <c r="M87" s="2331"/>
      <c r="N87" s="2331"/>
      <c r="O87" s="362"/>
    </row>
    <row r="88" spans="1:17" ht="34.5" customHeight="1" x14ac:dyDescent="0.25">
      <c r="A88" s="341">
        <v>13</v>
      </c>
      <c r="B88" s="341" t="s">
        <v>876</v>
      </c>
      <c r="C88" s="1545"/>
      <c r="D88" s="1529"/>
      <c r="E88" s="2316" t="s">
        <v>1888</v>
      </c>
      <c r="F88" s="2316"/>
      <c r="G88" s="2316"/>
      <c r="H88" s="2316"/>
      <c r="I88" s="2316"/>
      <c r="J88" s="2316"/>
      <c r="K88" s="2316"/>
      <c r="L88" s="2316"/>
      <c r="M88" s="2316"/>
      <c r="N88" s="2316"/>
      <c r="O88" s="362"/>
      <c r="Q88" s="482"/>
    </row>
    <row r="89" spans="1:17" ht="51.75" customHeight="1" x14ac:dyDescent="0.25">
      <c r="A89" s="341">
        <v>13</v>
      </c>
      <c r="B89" s="341" t="s">
        <v>950</v>
      </c>
      <c r="C89" s="1545"/>
      <c r="D89" s="1529"/>
      <c r="E89" s="2331" t="s">
        <v>1889</v>
      </c>
      <c r="F89" s="2331"/>
      <c r="G89" s="2331"/>
      <c r="H89" s="2331"/>
      <c r="I89" s="2331"/>
      <c r="J89" s="2331"/>
      <c r="K89" s="2331"/>
      <c r="L89" s="2331"/>
      <c r="M89" s="2331"/>
      <c r="N89" s="2331"/>
      <c r="O89" s="362"/>
      <c r="Q89" s="477"/>
    </row>
    <row r="90" spans="1:17" ht="50.25" customHeight="1" x14ac:dyDescent="0.25">
      <c r="A90" s="341">
        <v>13</v>
      </c>
      <c r="B90" s="341" t="s">
        <v>951</v>
      </c>
      <c r="C90" s="1545"/>
      <c r="D90" s="1529"/>
      <c r="E90" s="2336" t="s">
        <v>967</v>
      </c>
      <c r="F90" s="2316"/>
      <c r="G90" s="2316"/>
      <c r="H90" s="2316"/>
      <c r="I90" s="2316"/>
      <c r="J90" s="2316"/>
      <c r="K90" s="2316"/>
      <c r="L90" s="2316"/>
      <c r="M90" s="2316"/>
      <c r="N90" s="2316"/>
      <c r="O90" s="362"/>
      <c r="Q90" s="477"/>
    </row>
    <row r="91" spans="1:17" x14ac:dyDescent="0.25">
      <c r="A91" s="341"/>
      <c r="B91" s="341"/>
      <c r="C91" s="1545"/>
      <c r="D91" s="1529"/>
      <c r="E91" s="1514"/>
      <c r="F91" s="2316"/>
      <c r="G91" s="2316"/>
      <c r="H91" s="2316"/>
      <c r="I91" s="2316"/>
      <c r="J91" s="2316"/>
      <c r="K91" s="2316"/>
      <c r="L91" s="2316"/>
      <c r="M91" s="2316"/>
      <c r="N91" s="2316"/>
      <c r="O91" s="362"/>
    </row>
    <row r="92" spans="1:17" x14ac:dyDescent="0.25">
      <c r="A92" s="341">
        <v>13</v>
      </c>
      <c r="B92" s="341">
        <v>93</v>
      </c>
      <c r="C92" s="1545"/>
      <c r="D92" s="1529"/>
      <c r="E92" s="1551" t="s">
        <v>946</v>
      </c>
      <c r="F92" s="1514"/>
      <c r="G92" s="1514"/>
      <c r="H92" s="1514"/>
      <c r="I92" s="1514"/>
      <c r="J92" s="1514"/>
      <c r="K92" s="1514"/>
      <c r="L92" s="1514"/>
      <c r="M92" s="1514"/>
      <c r="N92" s="1549"/>
      <c r="O92" s="309"/>
    </row>
    <row r="93" spans="1:17" x14ac:dyDescent="0.25">
      <c r="A93" s="341"/>
      <c r="B93" s="341"/>
      <c r="C93" s="1552"/>
      <c r="D93" s="1529"/>
      <c r="E93" s="2315" t="str">
        <f>"Refer to Notes "&amp;'Note 6 to 8'!E5&amp;" and "&amp;'Notes 2 to 5'!E566&amp;" respectively for details of valuation techniques used to derive fair values."</f>
        <v>Refer to Notes 6.2 and 5.2 respectively for details of valuation techniques used to derive fair values.</v>
      </c>
      <c r="F93" s="2315"/>
      <c r="G93" s="2315"/>
      <c r="H93" s="2315"/>
      <c r="I93" s="2315"/>
      <c r="J93" s="2315"/>
      <c r="K93" s="2315"/>
      <c r="L93" s="2315"/>
      <c r="M93" s="2315"/>
      <c r="N93" s="2315"/>
      <c r="O93" s="309"/>
    </row>
    <row r="94" spans="1:17" ht="23.25" customHeight="1" x14ac:dyDescent="0.25">
      <c r="A94" s="341"/>
      <c r="B94" s="341"/>
      <c r="C94" s="1545"/>
      <c r="D94" s="1529"/>
      <c r="E94" s="2316" t="s">
        <v>952</v>
      </c>
      <c r="F94" s="2316"/>
      <c r="G94" s="2316"/>
      <c r="H94" s="2316"/>
      <c r="I94" s="2316"/>
      <c r="J94" s="2316"/>
      <c r="K94" s="2316"/>
      <c r="L94" s="2316"/>
      <c r="M94" s="2316"/>
      <c r="N94" s="2316"/>
      <c r="O94" s="362"/>
    </row>
    <row r="95" spans="1:17" x14ac:dyDescent="0.25">
      <c r="A95" s="341">
        <v>13</v>
      </c>
      <c r="B95" s="341">
        <v>93</v>
      </c>
      <c r="C95" s="1545"/>
      <c r="D95" s="1529"/>
      <c r="E95" s="1551" t="s">
        <v>947</v>
      </c>
      <c r="F95" s="1553"/>
      <c r="G95" s="1547"/>
      <c r="H95" s="1547"/>
      <c r="I95" s="1547"/>
      <c r="J95" s="1547"/>
      <c r="K95" s="1547"/>
      <c r="L95" s="1547"/>
      <c r="M95" s="1549"/>
      <c r="N95" s="1549"/>
      <c r="O95" s="309"/>
      <c r="Q95" s="340"/>
    </row>
    <row r="96" spans="1:17" x14ac:dyDescent="0.25">
      <c r="A96" s="341">
        <v>116</v>
      </c>
      <c r="B96" s="341">
        <v>77</v>
      </c>
      <c r="C96" s="1545"/>
      <c r="D96" s="1529"/>
      <c r="E96" s="1554" t="s">
        <v>953</v>
      </c>
      <c r="F96" s="1553"/>
      <c r="G96" s="1547"/>
      <c r="H96" s="1547"/>
      <c r="I96" s="1547"/>
      <c r="J96" s="1547"/>
      <c r="K96" s="1547"/>
      <c r="L96" s="1547"/>
      <c r="M96" s="1549"/>
      <c r="N96" s="1549"/>
      <c r="O96" s="362"/>
      <c r="Q96" s="340"/>
    </row>
    <row r="97" spans="1:176" ht="112.5" customHeight="1" x14ac:dyDescent="0.25">
      <c r="A97" s="341"/>
      <c r="B97" s="341"/>
      <c r="C97" s="1545"/>
      <c r="D97" s="1529"/>
      <c r="E97" s="2307" t="s">
        <v>1890</v>
      </c>
      <c r="F97" s="2307"/>
      <c r="G97" s="2307"/>
      <c r="H97" s="2307"/>
      <c r="I97" s="2307"/>
      <c r="J97" s="2307"/>
      <c r="K97" s="2307"/>
      <c r="L97" s="2307"/>
      <c r="M97" s="2307"/>
      <c r="N97" s="2307"/>
      <c r="O97" s="309"/>
      <c r="Q97" s="754" t="s">
        <v>1826</v>
      </c>
    </row>
    <row r="98" spans="1:176" ht="18.75" customHeight="1" x14ac:dyDescent="0.25">
      <c r="A98" s="341"/>
      <c r="B98" s="341"/>
      <c r="C98" s="1545"/>
      <c r="D98" s="1529"/>
      <c r="E98" s="2331" t="s">
        <v>954</v>
      </c>
      <c r="F98" s="2331"/>
      <c r="G98" s="2331"/>
      <c r="H98" s="2331"/>
      <c r="I98" s="2331"/>
      <c r="J98" s="2331"/>
      <c r="K98" s="2331"/>
      <c r="L98" s="2331"/>
      <c r="M98" s="2331"/>
      <c r="N98" s="1549"/>
      <c r="O98" s="309"/>
      <c r="P98" s="352"/>
      <c r="Q98" s="340"/>
    </row>
    <row r="99" spans="1:176" ht="39" customHeight="1" x14ac:dyDescent="0.25">
      <c r="A99" s="341"/>
      <c r="B99" s="341"/>
      <c r="C99" s="1545"/>
      <c r="D99" s="1529"/>
      <c r="E99" s="2307" t="s">
        <v>889</v>
      </c>
      <c r="F99" s="2307"/>
      <c r="G99" s="2307"/>
      <c r="H99" s="2307"/>
      <c r="I99" s="2307"/>
      <c r="J99" s="2307"/>
      <c r="K99" s="2307"/>
      <c r="L99" s="2307"/>
      <c r="M99" s="2307"/>
      <c r="N99" s="2307"/>
      <c r="O99" s="309"/>
      <c r="Q99" s="340"/>
    </row>
    <row r="100" spans="1:176" x14ac:dyDescent="0.25">
      <c r="A100" s="341"/>
      <c r="B100" s="341"/>
      <c r="C100" s="1545"/>
      <c r="D100" s="1529"/>
      <c r="E100" s="1555" t="s">
        <v>955</v>
      </c>
      <c r="F100" s="1514"/>
      <c r="G100" s="1514"/>
      <c r="H100" s="1514"/>
      <c r="I100" s="1514"/>
      <c r="J100" s="1514"/>
      <c r="K100" s="1514"/>
      <c r="L100" s="1514"/>
      <c r="M100" s="1514"/>
      <c r="N100" s="1549"/>
      <c r="O100" s="345"/>
      <c r="Q100" s="340"/>
    </row>
    <row r="101" spans="1:176" s="1" customFormat="1" ht="86.25" customHeight="1" thickBot="1" x14ac:dyDescent="0.3">
      <c r="A101" s="341"/>
      <c r="B101" s="341"/>
      <c r="C101" s="1545"/>
      <c r="D101" s="952"/>
      <c r="E101" s="2330" t="s">
        <v>2099</v>
      </c>
      <c r="F101" s="2330"/>
      <c r="G101" s="2330"/>
      <c r="H101" s="2330"/>
      <c r="I101" s="2330"/>
      <c r="J101" s="2330"/>
      <c r="K101" s="2330"/>
      <c r="L101" s="2330"/>
      <c r="M101" s="2330"/>
      <c r="N101" s="2330"/>
      <c r="P101" s="349"/>
      <c r="Q101" s="2048" t="s">
        <v>2079</v>
      </c>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row>
    <row r="102" spans="1:176" s="1" customFormat="1" ht="38.25" customHeight="1" thickBot="1" x14ac:dyDescent="0.3">
      <c r="A102" s="253"/>
      <c r="B102" s="253"/>
      <c r="C102" s="1556"/>
      <c r="D102" s="952"/>
      <c r="E102" s="2318" t="s">
        <v>435</v>
      </c>
      <c r="F102" s="2319"/>
      <c r="G102" s="2319"/>
      <c r="H102" s="2319"/>
      <c r="I102" s="2319"/>
      <c r="J102" s="2319"/>
      <c r="K102" s="2319"/>
      <c r="L102" s="2319"/>
      <c r="M102" s="2319"/>
      <c r="N102" s="2320"/>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row>
    <row r="103" spans="1:176" s="1" customFormat="1" ht="19.2" customHeight="1" x14ac:dyDescent="0.25">
      <c r="A103" s="253"/>
      <c r="B103" s="253"/>
      <c r="C103" s="1556"/>
      <c r="D103" s="952"/>
      <c r="E103" s="1557"/>
      <c r="F103" s="1557"/>
      <c r="G103" s="1557"/>
      <c r="H103" s="1557"/>
      <c r="I103" s="1557"/>
      <c r="J103" s="1557"/>
      <c r="K103" s="1557"/>
      <c r="L103" s="1557"/>
      <c r="M103" s="1557"/>
      <c r="N103" s="1557"/>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row>
    <row r="104" spans="1:176" x14ac:dyDescent="0.25">
      <c r="A104" s="341"/>
      <c r="B104" s="341"/>
      <c r="C104" s="1498" t="s">
        <v>286</v>
      </c>
      <c r="D104" s="1499">
        <f>+$D$4</f>
        <v>9.1199999999999992</v>
      </c>
      <c r="E104" s="1512" t="s">
        <v>1562</v>
      </c>
      <c r="F104" s="1504"/>
      <c r="G104" s="1547"/>
      <c r="H104" s="1547"/>
      <c r="I104" s="1547"/>
      <c r="J104" s="1547"/>
      <c r="K104" s="1547"/>
      <c r="L104" s="1547"/>
      <c r="M104" s="1549"/>
      <c r="N104" s="1549"/>
      <c r="O104" s="434"/>
      <c r="Q104" s="312" t="s">
        <v>2052</v>
      </c>
    </row>
    <row r="105" spans="1:176" x14ac:dyDescent="0.25">
      <c r="A105" s="341"/>
      <c r="B105" s="341"/>
      <c r="C105" s="1545"/>
      <c r="D105" s="1512" t="s">
        <v>940</v>
      </c>
      <c r="E105" s="1515" t="s">
        <v>1564</v>
      </c>
      <c r="F105" s="1553"/>
      <c r="G105" s="1547"/>
      <c r="H105" s="1547"/>
      <c r="I105" s="1547"/>
      <c r="J105" s="1547"/>
      <c r="K105" s="1547"/>
      <c r="L105" s="1547"/>
      <c r="M105" s="1549"/>
      <c r="N105" s="1549"/>
      <c r="O105" s="434"/>
      <c r="Q105" s="312" t="s">
        <v>2052</v>
      </c>
    </row>
    <row r="106" spans="1:176" s="474" customFormat="1" ht="6" customHeight="1" x14ac:dyDescent="0.25">
      <c r="A106" s="341"/>
      <c r="B106" s="341"/>
      <c r="C106" s="1545"/>
      <c r="D106" s="1529"/>
      <c r="E106" s="1496"/>
      <c r="F106" s="1514"/>
      <c r="G106" s="1514"/>
      <c r="H106" s="1550"/>
      <c r="I106" s="1550"/>
      <c r="J106" s="1550"/>
      <c r="K106" s="1550"/>
      <c r="L106" s="1550"/>
      <c r="M106" s="1550"/>
      <c r="N106" s="1549"/>
      <c r="O106" s="747"/>
      <c r="Q106" s="340"/>
    </row>
    <row r="107" spans="1:176" x14ac:dyDescent="0.25">
      <c r="A107" s="341">
        <v>13</v>
      </c>
      <c r="B107" s="341">
        <v>93</v>
      </c>
      <c r="C107" s="1545"/>
      <c r="D107" s="1529"/>
      <c r="E107" s="1551" t="s">
        <v>93</v>
      </c>
      <c r="F107" s="1554" t="s">
        <v>953</v>
      </c>
      <c r="G107" s="1547"/>
      <c r="H107" s="1547"/>
      <c r="I107" s="1547"/>
      <c r="J107" s="1547"/>
      <c r="K107" s="1547"/>
      <c r="L107" s="1547"/>
      <c r="M107" s="1549"/>
      <c r="N107" s="1549"/>
      <c r="O107" s="309"/>
      <c r="Q107" s="340"/>
    </row>
    <row r="108" spans="1:176" ht="85.5" customHeight="1" x14ac:dyDescent="0.25">
      <c r="A108" s="341">
        <v>116</v>
      </c>
      <c r="B108" s="341">
        <v>77</v>
      </c>
      <c r="C108" s="1545"/>
      <c r="D108" s="1529"/>
      <c r="E108" s="2307" t="s">
        <v>1891</v>
      </c>
      <c r="F108" s="2307"/>
      <c r="G108" s="2307"/>
      <c r="H108" s="2307"/>
      <c r="I108" s="2307"/>
      <c r="J108" s="2307"/>
      <c r="K108" s="2307"/>
      <c r="L108" s="2307"/>
      <c r="M108" s="2307"/>
      <c r="N108" s="2307"/>
      <c r="O108" s="309"/>
      <c r="Q108" s="754" t="s">
        <v>1826</v>
      </c>
    </row>
    <row r="109" spans="1:176" ht="66.75" customHeight="1" x14ac:dyDescent="0.25">
      <c r="A109" s="341"/>
      <c r="B109" s="341"/>
      <c r="C109" s="1545"/>
      <c r="D109" s="1529"/>
      <c r="E109" s="2307" t="s">
        <v>900</v>
      </c>
      <c r="F109" s="2307"/>
      <c r="G109" s="2307"/>
      <c r="H109" s="2307"/>
      <c r="I109" s="2307"/>
      <c r="J109" s="2307"/>
      <c r="K109" s="2307"/>
      <c r="L109" s="2307"/>
      <c r="M109" s="2307"/>
      <c r="N109" s="2307"/>
      <c r="O109" s="309"/>
      <c r="Q109" s="340"/>
    </row>
    <row r="110" spans="1:176" ht="46.5" customHeight="1" x14ac:dyDescent="0.25">
      <c r="A110" s="341"/>
      <c r="B110" s="341"/>
      <c r="C110" s="1545"/>
      <c r="D110" s="1529"/>
      <c r="E110" s="2307" t="s">
        <v>890</v>
      </c>
      <c r="F110" s="2307"/>
      <c r="G110" s="2307"/>
      <c r="H110" s="2307"/>
      <c r="I110" s="2307"/>
      <c r="J110" s="2307"/>
      <c r="K110" s="2307"/>
      <c r="L110" s="2307"/>
      <c r="M110" s="2307"/>
      <c r="N110" s="2307"/>
      <c r="O110" s="309"/>
      <c r="Q110" s="340"/>
    </row>
    <row r="111" spans="1:176" ht="67.5" customHeight="1" x14ac:dyDescent="0.25">
      <c r="A111" s="341"/>
      <c r="B111" s="341"/>
      <c r="C111" s="1545"/>
      <c r="D111" s="1529"/>
      <c r="E111" s="2307" t="s">
        <v>1892</v>
      </c>
      <c r="F111" s="2307"/>
      <c r="G111" s="2307"/>
      <c r="H111" s="2307"/>
      <c r="I111" s="2307"/>
      <c r="J111" s="2307"/>
      <c r="K111" s="2307"/>
      <c r="L111" s="2307"/>
      <c r="M111" s="2307"/>
      <c r="N111" s="2307"/>
      <c r="O111" s="309"/>
      <c r="Q111" s="348" t="s">
        <v>1225</v>
      </c>
    </row>
    <row r="112" spans="1:176" s="474" customFormat="1" ht="6" customHeight="1" x14ac:dyDescent="0.25">
      <c r="A112" s="341"/>
      <c r="B112" s="341"/>
      <c r="C112" s="1545"/>
      <c r="D112" s="1529"/>
      <c r="E112" s="1496"/>
      <c r="F112" s="1514"/>
      <c r="G112" s="1514"/>
      <c r="H112" s="1550"/>
      <c r="I112" s="1550"/>
      <c r="J112" s="1550"/>
      <c r="K112" s="1550"/>
      <c r="L112" s="1550"/>
      <c r="M112" s="1550"/>
      <c r="N112" s="1549"/>
      <c r="O112" s="747"/>
      <c r="Q112" s="340"/>
    </row>
    <row r="113" spans="1:17" x14ac:dyDescent="0.25">
      <c r="A113" s="341">
        <v>13</v>
      </c>
      <c r="B113" s="341">
        <v>93</v>
      </c>
      <c r="C113" s="1545"/>
      <c r="D113" s="1529"/>
      <c r="E113" s="1551" t="s">
        <v>948</v>
      </c>
      <c r="F113" s="1553"/>
      <c r="G113" s="1547"/>
      <c r="H113" s="1547"/>
      <c r="I113" s="1547"/>
      <c r="J113" s="1547"/>
      <c r="K113" s="1547"/>
      <c r="L113" s="1547"/>
      <c r="M113" s="1549"/>
      <c r="N113" s="1549"/>
      <c r="O113" s="309"/>
      <c r="Q113" s="340"/>
    </row>
    <row r="114" spans="1:17" ht="67.5" customHeight="1" x14ac:dyDescent="0.25">
      <c r="A114" s="341">
        <v>116</v>
      </c>
      <c r="B114" s="341">
        <v>77</v>
      </c>
      <c r="C114" s="1545"/>
      <c r="D114" s="1529"/>
      <c r="E114" s="2307" t="s">
        <v>880</v>
      </c>
      <c r="F114" s="2307"/>
      <c r="G114" s="2307"/>
      <c r="H114" s="2307"/>
      <c r="I114" s="2307"/>
      <c r="J114" s="2307"/>
      <c r="K114" s="2307"/>
      <c r="L114" s="2307"/>
      <c r="M114" s="2307"/>
      <c r="N114" s="2307"/>
      <c r="O114" s="309"/>
      <c r="Q114" s="340"/>
    </row>
    <row r="115" spans="1:17" ht="55.5" customHeight="1" x14ac:dyDescent="0.25">
      <c r="A115" s="341"/>
      <c r="B115" s="341"/>
      <c r="C115" s="1545"/>
      <c r="D115" s="1529"/>
      <c r="E115" s="2307" t="s">
        <v>891</v>
      </c>
      <c r="F115" s="2307"/>
      <c r="G115" s="2307"/>
      <c r="H115" s="2307"/>
      <c r="I115" s="2307"/>
      <c r="J115" s="2307"/>
      <c r="K115" s="2307"/>
      <c r="L115" s="2307"/>
      <c r="M115" s="2307"/>
      <c r="N115" s="2307"/>
      <c r="O115" s="309"/>
      <c r="Q115" s="340"/>
    </row>
    <row r="116" spans="1:17" ht="47.25" customHeight="1" x14ac:dyDescent="0.25">
      <c r="A116" s="341"/>
      <c r="B116" s="341"/>
      <c r="C116" s="1545"/>
      <c r="D116" s="1529"/>
      <c r="E116" s="2307" t="s">
        <v>892</v>
      </c>
      <c r="F116" s="2307"/>
      <c r="G116" s="2307"/>
      <c r="H116" s="2307"/>
      <c r="I116" s="2307"/>
      <c r="J116" s="2307"/>
      <c r="K116" s="2307"/>
      <c r="L116" s="2307"/>
      <c r="M116" s="2307"/>
      <c r="N116" s="2307"/>
      <c r="O116" s="309"/>
      <c r="Q116" s="340"/>
    </row>
    <row r="117" spans="1:17" ht="33.75" customHeight="1" x14ac:dyDescent="0.25">
      <c r="A117" s="341"/>
      <c r="B117" s="341"/>
      <c r="C117" s="1558"/>
      <c r="D117" s="1493"/>
      <c r="E117" s="2307" t="str">
        <f>"The level of accumulated depreciation for infrastructure assets was determined based on the age of the asset and the useful life adopted by Council for the asset type. Estimated useful lives and residual values are disclosed in note "&amp;'Note 6'!F5&amp;"."</f>
        <v>The level of accumulated depreciation for infrastructure assets was determined based on the age of the asset and the useful life adopted by Council for the asset type. Estimated useful lives and residual values are disclosed in note 6.1.</v>
      </c>
      <c r="F117" s="2307"/>
      <c r="G117" s="2307"/>
      <c r="H117" s="2307"/>
      <c r="I117" s="2307"/>
      <c r="J117" s="2307"/>
      <c r="K117" s="2307"/>
      <c r="L117" s="2307"/>
      <c r="M117" s="2307"/>
      <c r="N117" s="2307"/>
      <c r="O117" s="309"/>
      <c r="Q117" s="340"/>
    </row>
    <row r="118" spans="1:17" ht="57.75" customHeight="1" x14ac:dyDescent="0.25">
      <c r="A118" s="341"/>
      <c r="B118" s="341"/>
      <c r="C118" s="1545"/>
      <c r="D118" s="1529"/>
      <c r="E118" s="2307" t="s">
        <v>1893</v>
      </c>
      <c r="F118" s="2307"/>
      <c r="G118" s="2307"/>
      <c r="H118" s="2307"/>
      <c r="I118" s="2307"/>
      <c r="J118" s="2307"/>
      <c r="K118" s="2307"/>
      <c r="L118" s="2307"/>
      <c r="M118" s="2307"/>
      <c r="N118" s="2307"/>
      <c r="O118" s="309"/>
      <c r="Q118" s="348" t="s">
        <v>1225</v>
      </c>
    </row>
    <row r="119" spans="1:17" x14ac:dyDescent="0.25">
      <c r="A119" s="341"/>
      <c r="B119" s="341"/>
      <c r="C119" s="1545"/>
      <c r="D119" s="1529"/>
      <c r="E119" s="2315" t="s">
        <v>893</v>
      </c>
      <c r="F119" s="2315"/>
      <c r="G119" s="2315"/>
      <c r="H119" s="2315"/>
      <c r="I119" s="2315"/>
      <c r="J119" s="2315"/>
      <c r="K119" s="2315"/>
      <c r="L119" s="2315"/>
      <c r="M119" s="2315"/>
      <c r="N119" s="1549"/>
      <c r="O119" s="309"/>
      <c r="Q119" s="340"/>
    </row>
    <row r="120" spans="1:17" ht="6" customHeight="1" x14ac:dyDescent="0.25">
      <c r="A120" s="341"/>
      <c r="B120" s="341"/>
      <c r="C120" s="1545"/>
      <c r="D120" s="1529"/>
      <c r="E120" s="1514"/>
      <c r="F120" s="1514"/>
      <c r="G120" s="1514"/>
      <c r="H120" s="1514"/>
      <c r="I120" s="1514"/>
      <c r="J120" s="1514"/>
      <c r="K120" s="1514"/>
      <c r="L120" s="1514"/>
      <c r="M120" s="1514"/>
      <c r="N120" s="1549"/>
      <c r="O120" s="309"/>
      <c r="Q120" s="340"/>
    </row>
    <row r="121" spans="1:17" x14ac:dyDescent="0.25">
      <c r="A121" s="341"/>
      <c r="B121" s="341"/>
      <c r="C121" s="1545"/>
      <c r="D121" s="1529"/>
      <c r="E121" s="1559" t="s">
        <v>881</v>
      </c>
      <c r="F121" s="1553"/>
      <c r="G121" s="1547"/>
      <c r="H121" s="1547"/>
      <c r="I121" s="1547"/>
      <c r="J121" s="1547"/>
      <c r="K121" s="1547"/>
      <c r="L121" s="1547"/>
      <c r="M121" s="1549"/>
      <c r="N121" s="1549"/>
      <c r="O121" s="309"/>
      <c r="Q121" s="340"/>
    </row>
    <row r="122" spans="1:17" ht="126" customHeight="1" x14ac:dyDescent="0.25">
      <c r="A122" s="341"/>
      <c r="B122" s="341"/>
      <c r="C122" s="1545"/>
      <c r="D122" s="1529"/>
      <c r="E122" s="2306" t="s">
        <v>1894</v>
      </c>
      <c r="F122" s="2306"/>
      <c r="G122" s="2306"/>
      <c r="H122" s="2306"/>
      <c r="I122" s="2306"/>
      <c r="J122" s="2306"/>
      <c r="K122" s="2306"/>
      <c r="L122" s="2306"/>
      <c r="M122" s="2306"/>
      <c r="N122" s="2306"/>
      <c r="O122" s="309"/>
      <c r="Q122" s="755" t="s">
        <v>1826</v>
      </c>
    </row>
    <row r="123" spans="1:17" ht="81.75" customHeight="1" x14ac:dyDescent="0.25">
      <c r="A123" s="341"/>
      <c r="B123" s="341"/>
      <c r="C123" s="1545"/>
      <c r="D123" s="1529"/>
      <c r="E123" s="2307" t="s">
        <v>895</v>
      </c>
      <c r="F123" s="2307"/>
      <c r="G123" s="2307"/>
      <c r="H123" s="2307"/>
      <c r="I123" s="2307"/>
      <c r="J123" s="2307"/>
      <c r="K123" s="2307"/>
      <c r="L123" s="2307"/>
      <c r="M123" s="2307"/>
      <c r="N123" s="2307"/>
      <c r="O123" s="309"/>
      <c r="Q123" s="340"/>
    </row>
    <row r="124" spans="1:17" s="474" customFormat="1" ht="6" customHeight="1" x14ac:dyDescent="0.25">
      <c r="A124" s="341"/>
      <c r="B124" s="341"/>
      <c r="C124" s="1545"/>
      <c r="D124" s="1529"/>
      <c r="E124" s="1514"/>
      <c r="F124" s="1514"/>
      <c r="G124" s="1514"/>
      <c r="H124" s="1514"/>
      <c r="I124" s="1514"/>
      <c r="J124" s="1514"/>
      <c r="K124" s="1514"/>
      <c r="L124" s="1514"/>
      <c r="M124" s="1514"/>
      <c r="N124" s="1549"/>
      <c r="O124" s="747"/>
      <c r="Q124" s="340"/>
    </row>
    <row r="125" spans="1:17" x14ac:dyDescent="0.25">
      <c r="A125" s="341"/>
      <c r="B125" s="341"/>
      <c r="C125" s="1545"/>
      <c r="D125" s="1529"/>
      <c r="E125" s="1559" t="s">
        <v>614</v>
      </c>
      <c r="F125" s="1553"/>
      <c r="G125" s="1547"/>
      <c r="H125" s="1547"/>
      <c r="I125" s="1547"/>
      <c r="J125" s="1547"/>
      <c r="K125" s="1547"/>
      <c r="L125" s="1547"/>
      <c r="M125" s="1549"/>
      <c r="N125" s="1549"/>
      <c r="O125" s="309"/>
      <c r="Q125" s="340"/>
    </row>
    <row r="126" spans="1:17" ht="66.75" customHeight="1" x14ac:dyDescent="0.25">
      <c r="A126" s="341"/>
      <c r="B126" s="341"/>
      <c r="C126" s="1545"/>
      <c r="D126" s="1529"/>
      <c r="E126" s="2307" t="s">
        <v>1895</v>
      </c>
      <c r="F126" s="2307"/>
      <c r="G126" s="2307"/>
      <c r="H126" s="2307"/>
      <c r="I126" s="2307"/>
      <c r="J126" s="2307"/>
      <c r="K126" s="2307"/>
      <c r="L126" s="2307"/>
      <c r="M126" s="2307"/>
      <c r="N126" s="2307"/>
      <c r="O126" s="309"/>
      <c r="Q126" s="754" t="s">
        <v>1826</v>
      </c>
    </row>
    <row r="127" spans="1:17" s="474" customFormat="1" ht="6" customHeight="1" x14ac:dyDescent="0.25">
      <c r="A127" s="341"/>
      <c r="B127" s="341"/>
      <c r="C127" s="1545"/>
      <c r="D127" s="1529"/>
      <c r="E127" s="1514"/>
      <c r="F127" s="1514"/>
      <c r="G127" s="1514"/>
      <c r="H127" s="1514"/>
      <c r="I127" s="1514"/>
      <c r="J127" s="1514"/>
      <c r="K127" s="1514"/>
      <c r="L127" s="1514"/>
      <c r="M127" s="1514"/>
      <c r="N127" s="1549"/>
      <c r="O127" s="747"/>
      <c r="Q127" s="340"/>
    </row>
    <row r="128" spans="1:17" x14ac:dyDescent="0.25">
      <c r="A128" s="341"/>
      <c r="B128" s="341"/>
      <c r="C128" s="1545"/>
      <c r="D128" s="1529"/>
      <c r="E128" s="1559" t="s">
        <v>348</v>
      </c>
      <c r="F128" s="1553"/>
      <c r="G128" s="1547"/>
      <c r="H128" s="1547"/>
      <c r="I128" s="1547"/>
      <c r="J128" s="1547"/>
      <c r="K128" s="1547"/>
      <c r="L128" s="1547"/>
      <c r="M128" s="1549"/>
      <c r="N128" s="1549"/>
      <c r="O128" s="309"/>
      <c r="Q128" s="340"/>
    </row>
    <row r="129" spans="1:24" ht="68.25" customHeight="1" x14ac:dyDescent="0.25">
      <c r="A129" s="341"/>
      <c r="B129" s="341"/>
      <c r="C129" s="1545"/>
      <c r="D129" s="1529"/>
      <c r="E129" s="2307" t="s">
        <v>1896</v>
      </c>
      <c r="F129" s="2307"/>
      <c r="G129" s="2307"/>
      <c r="H129" s="2307"/>
      <c r="I129" s="2307"/>
      <c r="J129" s="2307"/>
      <c r="K129" s="2307"/>
      <c r="L129" s="2307"/>
      <c r="M129" s="2307"/>
      <c r="N129" s="2307"/>
      <c r="O129" s="309"/>
      <c r="Q129" s="755" t="s">
        <v>1826</v>
      </c>
    </row>
    <row r="130" spans="1:24" x14ac:dyDescent="0.25">
      <c r="A130" s="341"/>
      <c r="B130" s="341"/>
      <c r="C130" s="1545"/>
      <c r="D130" s="1529"/>
      <c r="E130" s="2307"/>
      <c r="F130" s="2307"/>
      <c r="G130" s="2307"/>
      <c r="H130" s="2307"/>
      <c r="I130" s="2307"/>
      <c r="J130" s="2307"/>
      <c r="K130" s="2307"/>
      <c r="L130" s="2307"/>
      <c r="M130" s="2307"/>
      <c r="N130" s="2307"/>
      <c r="O130" s="309"/>
      <c r="Q130" s="340"/>
    </row>
    <row r="131" spans="1:24" x14ac:dyDescent="0.25">
      <c r="A131" s="341"/>
      <c r="B131" s="341"/>
      <c r="C131" s="1499" t="s">
        <v>286</v>
      </c>
      <c r="D131" s="1499">
        <f>+$D$4</f>
        <v>9.1199999999999992</v>
      </c>
      <c r="E131" s="1512" t="s">
        <v>1562</v>
      </c>
      <c r="F131" s="1504"/>
      <c r="G131" s="1547"/>
      <c r="H131" s="1547"/>
      <c r="I131" s="1547"/>
      <c r="J131" s="1547"/>
      <c r="K131" s="1547"/>
      <c r="L131" s="1547"/>
      <c r="M131" s="1549"/>
      <c r="N131" s="1549"/>
      <c r="O131" s="309"/>
      <c r="Q131" s="312" t="s">
        <v>2052</v>
      </c>
    </row>
    <row r="132" spans="1:24" s="474" customFormat="1" x14ac:dyDescent="0.25">
      <c r="A132" s="341"/>
      <c r="B132" s="341"/>
      <c r="C132" s="1499"/>
      <c r="D132" s="1512" t="s">
        <v>940</v>
      </c>
      <c r="E132" s="1515" t="s">
        <v>1564</v>
      </c>
      <c r="F132" s="1504"/>
      <c r="G132" s="1547"/>
      <c r="H132" s="1547"/>
      <c r="I132" s="1547"/>
      <c r="J132" s="1547"/>
      <c r="K132" s="1547"/>
      <c r="L132" s="1547"/>
      <c r="M132" s="1549"/>
      <c r="N132" s="1549"/>
      <c r="O132" s="642"/>
      <c r="Q132" s="340"/>
    </row>
    <row r="133" spans="1:24" s="474" customFormat="1" ht="68.25" customHeight="1" x14ac:dyDescent="0.25">
      <c r="A133" s="341"/>
      <c r="B133" s="341"/>
      <c r="C133" s="1499"/>
      <c r="D133" s="1512"/>
      <c r="E133" s="2307" t="s">
        <v>1794</v>
      </c>
      <c r="F133" s="2307"/>
      <c r="G133" s="2307"/>
      <c r="H133" s="2307"/>
      <c r="I133" s="2307"/>
      <c r="J133" s="2307"/>
      <c r="K133" s="2307"/>
      <c r="L133" s="2307"/>
      <c r="M133" s="2307"/>
      <c r="N133" s="2307"/>
      <c r="O133" s="753"/>
      <c r="Q133" s="340"/>
    </row>
    <row r="134" spans="1:24" s="474" customFormat="1" ht="6" customHeight="1" x14ac:dyDescent="0.25">
      <c r="A134" s="341"/>
      <c r="B134" s="341"/>
      <c r="C134" s="1499"/>
      <c r="D134" s="1499"/>
      <c r="E134" s="1512"/>
      <c r="F134" s="1504"/>
      <c r="G134" s="1547"/>
      <c r="H134" s="1547"/>
      <c r="I134" s="1547"/>
      <c r="J134" s="1547"/>
      <c r="K134" s="1547"/>
      <c r="L134" s="1547"/>
      <c r="M134" s="1549"/>
      <c r="N134" s="1549"/>
      <c r="O134" s="642"/>
      <c r="Q134" s="340"/>
    </row>
    <row r="135" spans="1:24" x14ac:dyDescent="0.25">
      <c r="A135" s="341"/>
      <c r="B135" s="341"/>
      <c r="C135" s="1545"/>
      <c r="D135" s="1529"/>
      <c r="E135" s="1559" t="s">
        <v>728</v>
      </c>
      <c r="F135" s="1553"/>
      <c r="G135" s="1547"/>
      <c r="H135" s="1547"/>
      <c r="I135" s="1547"/>
      <c r="J135" s="1547"/>
      <c r="K135" s="1547"/>
      <c r="L135" s="1547"/>
      <c r="M135" s="1549"/>
      <c r="N135" s="1549"/>
      <c r="O135" s="309"/>
      <c r="Q135" s="340"/>
    </row>
    <row r="136" spans="1:24" x14ac:dyDescent="0.25">
      <c r="A136" s="341"/>
      <c r="B136" s="341"/>
      <c r="C136" s="1545"/>
      <c r="D136" s="1529"/>
      <c r="E136" s="1560" t="s">
        <v>894</v>
      </c>
      <c r="F136" s="1560"/>
      <c r="G136" s="1560"/>
      <c r="H136" s="1560"/>
      <c r="I136" s="1560"/>
      <c r="J136" s="1560"/>
      <c r="K136" s="1560"/>
      <c r="L136" s="1560"/>
      <c r="M136" s="1560"/>
      <c r="N136" s="1560"/>
      <c r="O136" s="309"/>
      <c r="Q136" s="340"/>
    </row>
    <row r="137" spans="1:24" x14ac:dyDescent="0.25">
      <c r="A137" s="256"/>
      <c r="B137" s="256"/>
      <c r="C137" s="1498"/>
      <c r="D137" s="1561"/>
      <c r="E137" s="1562"/>
      <c r="F137" s="1563"/>
      <c r="G137" s="1564"/>
      <c r="H137" s="1565"/>
      <c r="I137" s="1565"/>
      <c r="J137" s="1565"/>
      <c r="K137" s="1565"/>
      <c r="L137" s="1565"/>
      <c r="M137" s="1565"/>
      <c r="N137" s="1565"/>
      <c r="O137" s="436"/>
      <c r="P137" s="330"/>
    </row>
    <row r="138" spans="1:24" x14ac:dyDescent="0.25">
      <c r="A138" s="341"/>
      <c r="B138" s="341"/>
      <c r="C138" s="1545"/>
      <c r="D138" s="1551" t="s">
        <v>49</v>
      </c>
      <c r="E138" s="1551" t="s">
        <v>966</v>
      </c>
      <c r="F138" s="1496"/>
      <c r="G138" s="1551"/>
      <c r="H138" s="1551"/>
      <c r="I138" s="1551"/>
      <c r="J138" s="1551"/>
      <c r="K138" s="1551"/>
      <c r="L138" s="1551"/>
      <c r="M138" s="1551"/>
      <c r="N138" s="1566"/>
      <c r="O138" s="437"/>
      <c r="R138" s="492"/>
      <c r="S138" s="492"/>
      <c r="T138" s="492"/>
      <c r="U138" s="492"/>
      <c r="V138" s="492"/>
      <c r="W138" s="492"/>
      <c r="X138" s="492"/>
    </row>
    <row r="139" spans="1:24" x14ac:dyDescent="0.25">
      <c r="A139" s="341">
        <v>13</v>
      </c>
      <c r="B139" s="319"/>
      <c r="C139" s="1545"/>
      <c r="D139" s="1567"/>
      <c r="E139" s="2316" t="s">
        <v>1285</v>
      </c>
      <c r="F139" s="2316"/>
      <c r="G139" s="2316"/>
      <c r="H139" s="2316"/>
      <c r="I139" s="2316"/>
      <c r="J139" s="2316"/>
      <c r="K139" s="2316"/>
      <c r="L139" s="2316"/>
      <c r="M139" s="2316"/>
      <c r="N139" s="1566"/>
      <c r="O139" s="437"/>
    </row>
    <row r="140" spans="1:24" ht="66" customHeight="1" x14ac:dyDescent="0.3">
      <c r="A140" s="341" t="s">
        <v>898</v>
      </c>
      <c r="B140" s="341"/>
      <c r="C140" s="1545"/>
      <c r="D140" s="1567"/>
      <c r="E140" s="1568" t="s">
        <v>922</v>
      </c>
      <c r="F140" s="1569" t="s">
        <v>924</v>
      </c>
      <c r="G140" s="2309" t="s">
        <v>974</v>
      </c>
      <c r="H140" s="2310"/>
      <c r="I140" s="2311"/>
      <c r="J140" s="2341" t="s">
        <v>921</v>
      </c>
      <c r="K140" s="2342"/>
      <c r="L140" s="2309" t="s">
        <v>923</v>
      </c>
      <c r="M140" s="2310"/>
      <c r="N140" s="2311"/>
      <c r="O140" s="437"/>
      <c r="Q140" s="732" t="s">
        <v>1791</v>
      </c>
    </row>
    <row r="141" spans="1:24" ht="33" customHeight="1" x14ac:dyDescent="0.25">
      <c r="A141" s="341"/>
      <c r="B141" s="341"/>
      <c r="C141" s="1545"/>
      <c r="D141" s="1567"/>
      <c r="E141" s="1570" t="s">
        <v>968</v>
      </c>
      <c r="F141" s="1571" t="s">
        <v>969</v>
      </c>
      <c r="G141" s="2312" t="s">
        <v>877</v>
      </c>
      <c r="H141" s="2313"/>
      <c r="I141" s="2314"/>
      <c r="J141" s="2312" t="s">
        <v>972</v>
      </c>
      <c r="K141" s="2314"/>
      <c r="L141" s="2325" t="s">
        <v>879</v>
      </c>
      <c r="M141" s="2326"/>
      <c r="N141" s="2327"/>
      <c r="O141" s="437"/>
      <c r="Q141" s="2308" t="s">
        <v>1334</v>
      </c>
    </row>
    <row r="142" spans="1:24" ht="32.25" customHeight="1" x14ac:dyDescent="0.25">
      <c r="A142" s="341"/>
      <c r="B142" s="341"/>
      <c r="C142" s="1545"/>
      <c r="D142" s="1567"/>
      <c r="E142" s="1570" t="s">
        <v>970</v>
      </c>
      <c r="F142" s="1571" t="s">
        <v>969</v>
      </c>
      <c r="G142" s="2312" t="s">
        <v>971</v>
      </c>
      <c r="H142" s="2313"/>
      <c r="I142" s="2314"/>
      <c r="J142" s="2312" t="s">
        <v>972</v>
      </c>
      <c r="K142" s="2314"/>
      <c r="L142" s="2325" t="s">
        <v>878</v>
      </c>
      <c r="M142" s="2326"/>
      <c r="N142" s="2327"/>
      <c r="O142" s="437"/>
      <c r="Q142" s="2308"/>
    </row>
    <row r="143" spans="1:24" ht="33" customHeight="1" x14ac:dyDescent="0.25">
      <c r="A143" s="341"/>
      <c r="B143" s="341"/>
      <c r="C143" s="1552"/>
      <c r="D143" s="1567"/>
      <c r="E143" s="1572" t="s">
        <v>1190</v>
      </c>
      <c r="F143" s="1573">
        <f>'Notes 2 to 5'!K570</f>
        <v>48200</v>
      </c>
      <c r="G143" s="2341" t="str">
        <f>"Refer to note "&amp;'Notes 2 to 5'!E566&amp;" for a description of the valuation basis."</f>
        <v>Refer to note 5.2 for a description of the valuation basis.</v>
      </c>
      <c r="H143" s="2343"/>
      <c r="I143" s="2343"/>
      <c r="J143" s="2343"/>
      <c r="K143" s="2343"/>
      <c r="L143" s="2343"/>
      <c r="M143" s="2343"/>
      <c r="N143" s="2342"/>
      <c r="O143" s="437"/>
      <c r="Q143" s="340"/>
    </row>
    <row r="144" spans="1:24" ht="24.75" customHeight="1" x14ac:dyDescent="0.25">
      <c r="A144" s="341"/>
      <c r="B144" s="341"/>
      <c r="C144" s="1545"/>
      <c r="D144" s="1567"/>
      <c r="E144" s="2023" t="s">
        <v>973</v>
      </c>
      <c r="F144" s="319"/>
      <c r="G144" s="2022"/>
      <c r="H144" s="2022"/>
      <c r="I144" s="2022"/>
      <c r="J144" s="2022"/>
      <c r="K144" s="2022"/>
      <c r="L144" s="2022"/>
      <c r="M144" s="2022"/>
      <c r="N144" s="2022"/>
      <c r="O144" s="437"/>
      <c r="Q144" s="340"/>
    </row>
    <row r="145" spans="1:24" x14ac:dyDescent="0.25">
      <c r="A145" s="341">
        <v>13</v>
      </c>
      <c r="B145" s="341" t="s">
        <v>884</v>
      </c>
      <c r="C145" s="1545"/>
      <c r="D145" s="1574" t="s">
        <v>964</v>
      </c>
      <c r="E145" s="1551" t="s">
        <v>965</v>
      </c>
      <c r="F145" s="1496"/>
      <c r="G145" s="1574"/>
      <c r="H145" s="1574"/>
      <c r="I145" s="1574"/>
      <c r="J145" s="1574"/>
      <c r="K145" s="1574"/>
      <c r="L145" s="1574"/>
      <c r="M145" s="1574"/>
      <c r="N145" s="1549"/>
      <c r="O145" s="309"/>
      <c r="Q145" s="340"/>
    </row>
    <row r="146" spans="1:24" ht="56.25" customHeight="1" x14ac:dyDescent="0.25">
      <c r="A146" s="341"/>
      <c r="B146" s="341"/>
      <c r="C146" s="1552"/>
      <c r="D146" s="1529"/>
      <c r="E146" s="2307" t="str">
        <f>"The changes in level 3 property plant and equipment assets with recurring fair value measurements are detailed in note "&amp;'Note 6'!F5&amp;" (Property, infrastructure, plant and equipment). Heritage buildings, which are classified as level 3 are separately disclosed in note "&amp;'Note 6'!F5&amp;". Investment in water corporation, which is classified as level 3 has been separately disclosed in note "&amp;'Notes 2 to 5'!E566&amp;" &lt;insert other notes if other assets are classed as level 3&gt;.  "</f>
        <v xml:space="preserve">The changes in level 3 property plant and equipment assets with recurring fair value measurements are detailed in note 6.1 (Property, infrastructure, plant and equipment). Heritage buildings, which are classified as level 3 are separately disclosed in note 6.1. Investment in water corporation, which is classified as level 3 has been separately disclosed in note 5.2 &lt;insert other notes if other assets are classed as level 3&gt;.  </v>
      </c>
      <c r="F146" s="2307"/>
      <c r="G146" s="2307"/>
      <c r="H146" s="2307"/>
      <c r="I146" s="2307"/>
      <c r="J146" s="2307"/>
      <c r="K146" s="2307"/>
      <c r="L146" s="2307"/>
      <c r="M146" s="2307"/>
      <c r="N146" s="2307"/>
      <c r="O146" s="309"/>
      <c r="Q146" s="2305"/>
      <c r="R146" s="2305"/>
      <c r="S146" s="2305"/>
      <c r="T146" s="2305"/>
      <c r="U146" s="2305"/>
      <c r="V146" s="2305"/>
      <c r="W146" s="2305"/>
      <c r="X146" s="2305"/>
    </row>
    <row r="147" spans="1:24" x14ac:dyDescent="0.25">
      <c r="A147" s="341"/>
      <c r="B147" s="341"/>
      <c r="C147" s="1552"/>
      <c r="D147" s="1529"/>
      <c r="E147" s="1575" t="s">
        <v>1191</v>
      </c>
      <c r="F147" s="1576"/>
      <c r="G147" s="1576"/>
      <c r="H147" s="1576"/>
      <c r="I147" s="1576"/>
      <c r="J147" s="1576"/>
      <c r="K147" s="1576"/>
      <c r="L147" s="1576"/>
      <c r="M147" s="1576"/>
      <c r="N147" s="1576"/>
      <c r="O147" s="442"/>
      <c r="Q147" s="447"/>
      <c r="R147" s="447"/>
      <c r="S147" s="447"/>
      <c r="T147" s="447"/>
      <c r="U147" s="447"/>
      <c r="V147" s="447"/>
      <c r="W147" s="447"/>
      <c r="X147" s="447"/>
    </row>
    <row r="148" spans="1:24" ht="27.75" customHeight="1" x14ac:dyDescent="0.25">
      <c r="A148" s="341"/>
      <c r="B148" s="341"/>
      <c r="C148" s="1545"/>
      <c r="D148" s="1529"/>
      <c r="E148" s="2316" t="s">
        <v>1407</v>
      </c>
      <c r="F148" s="2316"/>
      <c r="G148" s="2316"/>
      <c r="H148" s="2316"/>
      <c r="I148" s="2316"/>
      <c r="J148" s="2316"/>
      <c r="K148" s="2316"/>
      <c r="L148" s="2316"/>
      <c r="M148" s="2316"/>
      <c r="N148" s="2316"/>
      <c r="O148" s="309"/>
      <c r="Q148" s="614"/>
      <c r="R148" s="11"/>
      <c r="S148" s="11"/>
      <c r="T148" s="443"/>
      <c r="U148" s="443"/>
      <c r="V148" s="444"/>
      <c r="W148" s="444"/>
      <c r="X148" s="324"/>
    </row>
    <row r="149" spans="1:24" x14ac:dyDescent="0.25">
      <c r="A149" s="341"/>
      <c r="B149" s="341"/>
      <c r="C149" s="1545"/>
      <c r="D149" s="1529"/>
      <c r="E149" s="1577"/>
      <c r="F149" s="1577"/>
      <c r="G149" s="1577"/>
      <c r="H149" s="1577"/>
      <c r="I149" s="1577"/>
      <c r="J149" s="319"/>
      <c r="L149" s="1578">
        <f>'Merge Details_Printing instr'!$A$19</f>
        <v>2024</v>
      </c>
      <c r="M149" s="1577"/>
      <c r="N149" s="1578">
        <f>'Merge Details_Printing instr'!$A$20</f>
        <v>2023</v>
      </c>
      <c r="O149" s="362"/>
      <c r="Q149" s="11"/>
      <c r="R149" s="11"/>
      <c r="S149" s="11"/>
      <c r="T149" s="443"/>
      <c r="U149" s="443"/>
      <c r="V149" s="445"/>
      <c r="W149" s="445"/>
      <c r="X149" s="324"/>
    </row>
    <row r="150" spans="1:24" s="453" customFormat="1" x14ac:dyDescent="0.25">
      <c r="A150" s="341"/>
      <c r="B150" s="341"/>
      <c r="C150" s="1545"/>
      <c r="D150" s="1529"/>
      <c r="E150" s="1577"/>
      <c r="F150" s="1577"/>
      <c r="G150" s="1577"/>
      <c r="H150" s="1577"/>
      <c r="I150" s="1577"/>
      <c r="L150" s="1578" t="str">
        <f>'Merge Details_Printing instr'!$A$24</f>
        <v>$'000</v>
      </c>
      <c r="M150" s="1577"/>
      <c r="N150" s="1578" t="str">
        <f>'Merge Details_Printing instr'!$A$24</f>
        <v>$'000</v>
      </c>
      <c r="O150" s="452"/>
      <c r="Q150" s="11"/>
      <c r="R150" s="11"/>
      <c r="S150" s="11"/>
      <c r="T150" s="443"/>
      <c r="U150" s="443"/>
      <c r="V150" s="445"/>
      <c r="W150" s="445"/>
      <c r="X150" s="454"/>
    </row>
    <row r="151" spans="1:24" ht="16.5" customHeight="1" x14ac:dyDescent="0.25">
      <c r="A151" s="341"/>
      <c r="B151" s="341"/>
      <c r="C151" s="1545"/>
      <c r="D151" s="1529"/>
      <c r="E151" s="2335" t="s">
        <v>956</v>
      </c>
      <c r="F151" s="2335"/>
      <c r="G151" s="2335"/>
      <c r="H151" s="2335"/>
      <c r="I151" s="1579"/>
      <c r="J151" s="1579"/>
      <c r="K151" s="1579"/>
      <c r="L151" s="2025">
        <f>N159</f>
        <v>48090</v>
      </c>
      <c r="M151" s="1579"/>
      <c r="N151" s="1580">
        <f>'Notes 2 to 5'!M567</f>
        <v>47250</v>
      </c>
      <c r="O151" s="362"/>
      <c r="Q151" s="493" t="s">
        <v>1226</v>
      </c>
      <c r="R151" s="11"/>
      <c r="S151" s="11"/>
      <c r="T151" s="443"/>
      <c r="U151" s="443"/>
      <c r="V151" s="445"/>
      <c r="W151" s="445"/>
      <c r="X151" s="324"/>
    </row>
    <row r="152" spans="1:24" ht="35.25" customHeight="1" x14ac:dyDescent="0.25">
      <c r="A152" s="341"/>
      <c r="B152" s="341"/>
      <c r="C152" s="1545"/>
      <c r="D152" s="1529"/>
      <c r="E152" s="2328" t="s">
        <v>957</v>
      </c>
      <c r="F152" s="2328"/>
      <c r="G152" s="2328"/>
      <c r="H152" s="2328"/>
      <c r="I152" s="2328"/>
      <c r="J152" s="2328"/>
      <c r="L152" s="2026"/>
      <c r="M152" s="1577"/>
      <c r="N152" s="1539"/>
      <c r="O152" s="362"/>
      <c r="Q152" s="11"/>
      <c r="R152" s="11"/>
      <c r="S152" s="11"/>
      <c r="T152" s="443"/>
      <c r="U152" s="443"/>
      <c r="V152" s="445"/>
      <c r="W152" s="445"/>
      <c r="X152" s="324"/>
    </row>
    <row r="153" spans="1:24" ht="17.25" customHeight="1" x14ac:dyDescent="0.25">
      <c r="A153" s="341"/>
      <c r="B153" s="341"/>
      <c r="C153" s="1545"/>
      <c r="D153" s="1529"/>
      <c r="E153" s="1581" t="s">
        <v>958</v>
      </c>
      <c r="F153" s="1581"/>
      <c r="G153" s="1581"/>
      <c r="H153" s="1581"/>
      <c r="I153" s="1577"/>
      <c r="J153" s="319"/>
      <c r="L153" s="2026"/>
      <c r="M153" s="1577"/>
      <c r="N153" s="1539"/>
      <c r="O153" s="362"/>
      <c r="Q153" s="204"/>
      <c r="R153" s="11"/>
      <c r="S153" s="11"/>
      <c r="T153" s="443"/>
      <c r="U153" s="443"/>
      <c r="V153" s="444"/>
      <c r="W153" s="444"/>
      <c r="X153" s="324"/>
    </row>
    <row r="154" spans="1:24" ht="33" customHeight="1" x14ac:dyDescent="0.25">
      <c r="A154" s="341"/>
      <c r="B154" s="341"/>
      <c r="C154" s="1545"/>
      <c r="D154" s="1529"/>
      <c r="E154" s="2328" t="s">
        <v>2053</v>
      </c>
      <c r="F154" s="2328"/>
      <c r="G154" s="2328"/>
      <c r="H154" s="2328"/>
      <c r="I154" s="2328"/>
      <c r="J154" s="2328"/>
      <c r="L154" s="2027">
        <f>'Stat'' of Comprehensive Income'!G54</f>
        <v>110</v>
      </c>
      <c r="M154" s="1577"/>
      <c r="N154" s="1582">
        <f>'Stat'' of Comprehensive Income'!H54</f>
        <v>840</v>
      </c>
      <c r="O154" s="362"/>
      <c r="Q154" s="11"/>
      <c r="R154" s="11"/>
      <c r="S154" s="11"/>
      <c r="T154" s="443"/>
      <c r="U154" s="443"/>
      <c r="V154" s="443"/>
      <c r="W154" s="168"/>
      <c r="X154" s="324"/>
    </row>
    <row r="155" spans="1:24" x14ac:dyDescent="0.25">
      <c r="A155" s="341"/>
      <c r="B155" s="341"/>
      <c r="C155" s="1545"/>
      <c r="D155" s="1529"/>
      <c r="E155" s="2024" t="s">
        <v>959</v>
      </c>
      <c r="F155" s="2024"/>
      <c r="G155" s="2024"/>
      <c r="H155" s="2024"/>
      <c r="I155" s="1577"/>
      <c r="J155" s="319"/>
      <c r="L155" s="2026"/>
      <c r="M155" s="1577"/>
      <c r="N155" s="1539"/>
      <c r="O155" s="362"/>
      <c r="Q155" s="19"/>
      <c r="R155" s="11"/>
      <c r="S155" s="11"/>
      <c r="T155" s="11"/>
      <c r="U155" s="11"/>
      <c r="V155" s="11"/>
      <c r="W155" s="11"/>
      <c r="X155" s="324"/>
    </row>
    <row r="156" spans="1:24" x14ac:dyDescent="0.25">
      <c r="A156" s="341"/>
      <c r="B156" s="341"/>
      <c r="C156" s="1545"/>
      <c r="D156" s="1529"/>
      <c r="E156" s="2024" t="s">
        <v>960</v>
      </c>
      <c r="F156" s="2024"/>
      <c r="G156" s="2024"/>
      <c r="H156" s="2024"/>
      <c r="I156" s="1577"/>
      <c r="J156" s="319"/>
      <c r="L156" s="2026"/>
      <c r="M156" s="1577"/>
      <c r="N156" s="1539"/>
      <c r="O156" s="362"/>
      <c r="Q156" s="446"/>
      <c r="R156" s="324"/>
      <c r="S156" s="324"/>
      <c r="T156" s="324"/>
      <c r="U156" s="324"/>
      <c r="V156" s="324"/>
      <c r="W156" s="324"/>
      <c r="X156" s="324"/>
    </row>
    <row r="157" spans="1:24" x14ac:dyDescent="0.25">
      <c r="A157" s="341"/>
      <c r="B157" s="341"/>
      <c r="C157" s="1545"/>
      <c r="D157" s="1529"/>
      <c r="E157" s="2024" t="s">
        <v>961</v>
      </c>
      <c r="F157" s="2024"/>
      <c r="G157" s="2024"/>
      <c r="H157" s="2024"/>
      <c r="I157" s="1577"/>
      <c r="J157" s="319"/>
      <c r="L157" s="2026"/>
      <c r="M157" s="1577"/>
      <c r="N157" s="1539"/>
      <c r="O157" s="362"/>
      <c r="Q157" s="340"/>
    </row>
    <row r="158" spans="1:24" ht="16.5" customHeight="1" x14ac:dyDescent="0.25">
      <c r="A158" s="341"/>
      <c r="B158" s="341"/>
      <c r="C158" s="1545"/>
      <c r="D158" s="1529"/>
      <c r="E158" s="2024" t="s">
        <v>962</v>
      </c>
      <c r="F158" s="2024"/>
      <c r="G158" s="2024"/>
      <c r="H158" s="2024"/>
      <c r="I158" s="1577"/>
      <c r="J158" s="319"/>
      <c r="L158" s="2026"/>
      <c r="M158" s="1577"/>
      <c r="N158" s="1539"/>
      <c r="O158" s="362"/>
      <c r="Q158" s="340"/>
    </row>
    <row r="159" spans="1:24" x14ac:dyDescent="0.25">
      <c r="A159" s="341"/>
      <c r="B159" s="341"/>
      <c r="C159" s="1545"/>
      <c r="D159" s="1529"/>
      <c r="E159" s="2334" t="s">
        <v>244</v>
      </c>
      <c r="F159" s="2334"/>
      <c r="G159" s="2334"/>
      <c r="H159" s="2334"/>
      <c r="I159" s="1579"/>
      <c r="J159" s="1579"/>
      <c r="K159" s="1579"/>
      <c r="L159" s="2028">
        <f>SUM(L151:L158)</f>
        <v>48200</v>
      </c>
      <c r="M159" s="1579"/>
      <c r="N159" s="1583">
        <f>SUM(N151:N158)</f>
        <v>48090</v>
      </c>
      <c r="O159" s="362"/>
      <c r="Q159" s="340"/>
    </row>
    <row r="160" spans="1:24" ht="3.75" customHeight="1" x14ac:dyDescent="0.25">
      <c r="A160" s="341"/>
      <c r="B160" s="341"/>
      <c r="C160" s="1545"/>
      <c r="D160" s="1529"/>
      <c r="E160" s="1577"/>
      <c r="F160" s="1539"/>
      <c r="G160" s="1577"/>
      <c r="H160" s="1577"/>
      <c r="I160" s="1577"/>
      <c r="J160" s="1577"/>
      <c r="K160" s="1577"/>
      <c r="L160" s="1577"/>
      <c r="M160" s="1577"/>
      <c r="N160" s="1549"/>
      <c r="O160" s="362"/>
      <c r="Q160" s="340"/>
    </row>
    <row r="161" spans="1:17" ht="26.25" customHeight="1" x14ac:dyDescent="0.25">
      <c r="A161" s="341"/>
      <c r="B161" s="341"/>
      <c r="C161" s="1545"/>
      <c r="D161" s="1529"/>
      <c r="E161" s="2316" t="s">
        <v>882</v>
      </c>
      <c r="F161" s="2316"/>
      <c r="G161" s="2316"/>
      <c r="H161" s="2316"/>
      <c r="I161" s="2316"/>
      <c r="J161" s="2316"/>
      <c r="K161" s="2316"/>
      <c r="L161" s="2316"/>
      <c r="M161" s="2316"/>
      <c r="N161" s="2316"/>
      <c r="O161" s="309"/>
      <c r="Q161" s="340"/>
    </row>
    <row r="162" spans="1:17" s="474" customFormat="1" ht="26.25" customHeight="1" x14ac:dyDescent="0.25">
      <c r="A162" s="341"/>
      <c r="B162" s="341"/>
      <c r="C162" s="1545"/>
      <c r="D162" s="1529"/>
      <c r="E162" s="1996"/>
      <c r="F162" s="1996"/>
      <c r="G162" s="1996"/>
      <c r="H162" s="1996"/>
      <c r="I162" s="1996"/>
      <c r="J162" s="1996"/>
      <c r="K162" s="1996"/>
      <c r="L162" s="1996"/>
      <c r="M162" s="1996"/>
      <c r="N162" s="1996"/>
      <c r="O162" s="760"/>
      <c r="Q162" s="340"/>
    </row>
    <row r="163" spans="1:17" x14ac:dyDescent="0.25">
      <c r="A163" s="341">
        <v>13</v>
      </c>
      <c r="B163" s="341" t="s">
        <v>885</v>
      </c>
      <c r="C163" s="1545"/>
      <c r="D163" s="1574" t="s">
        <v>963</v>
      </c>
      <c r="E163" s="1551" t="s">
        <v>945</v>
      </c>
      <c r="F163" s="1496"/>
      <c r="G163" s="1574"/>
      <c r="H163" s="1574"/>
      <c r="I163" s="1574"/>
      <c r="J163" s="1574"/>
      <c r="K163" s="1574"/>
      <c r="L163" s="1574"/>
      <c r="M163" s="1574"/>
      <c r="N163" s="1549"/>
      <c r="O163" s="309"/>
      <c r="Q163" s="340"/>
    </row>
    <row r="164" spans="1:17" ht="33" customHeight="1" x14ac:dyDescent="0.25">
      <c r="A164" s="341"/>
      <c r="B164" s="341"/>
      <c r="C164" s="1545"/>
      <c r="D164" s="1529"/>
      <c r="E164" s="2328" t="s">
        <v>925</v>
      </c>
      <c r="F164" s="2328"/>
      <c r="G164" s="2328"/>
      <c r="H164" s="2328"/>
      <c r="I164" s="2328"/>
      <c r="J164" s="2328"/>
      <c r="K164" s="2328"/>
      <c r="L164" s="2328"/>
      <c r="M164" s="2328"/>
      <c r="N164" s="2328"/>
      <c r="O164" s="362"/>
      <c r="Q164" s="340"/>
    </row>
    <row r="165" spans="1:17" ht="47.25" customHeight="1" x14ac:dyDescent="0.25">
      <c r="A165" s="341"/>
      <c r="B165" s="341"/>
      <c r="C165" s="1552"/>
      <c r="D165" s="1529"/>
      <c r="E165" s="2315" t="str">
        <f>"Council's current policy for the valuation of property, infrastructure, plant and equipment, investment in water corporation and investment property (recurring fair value measurements) is set out in notes "&amp;'Notes 2 to 5'!E522&amp;", "&amp;'Note 6'!F5&amp;", and "&amp;'Note 6 to 8'!E5&amp;" respectively."</f>
        <v>Council's current policy for the valuation of property, infrastructure, plant and equipment, investment in water corporation and investment property (recurring fair value measurements) is set out in notes 5.1, 6.1, and 6.2 respectively.</v>
      </c>
      <c r="F165" s="2315"/>
      <c r="G165" s="2315"/>
      <c r="H165" s="2315"/>
      <c r="I165" s="2315"/>
      <c r="J165" s="2315"/>
      <c r="K165" s="2315"/>
      <c r="L165" s="2315"/>
      <c r="M165" s="2315"/>
      <c r="N165" s="2315"/>
      <c r="O165" s="309"/>
      <c r="Q165" s="340"/>
    </row>
    <row r="166" spans="1:17" x14ac:dyDescent="0.25">
      <c r="A166" s="341"/>
      <c r="B166" s="341"/>
      <c r="C166" s="1545"/>
      <c r="D166" s="1529"/>
      <c r="E166" s="2315" t="s">
        <v>897</v>
      </c>
      <c r="F166" s="2315"/>
      <c r="G166" s="2315"/>
      <c r="H166" s="2315"/>
      <c r="I166" s="2315"/>
      <c r="J166" s="2315"/>
      <c r="K166" s="2315"/>
      <c r="L166" s="2315"/>
      <c r="M166" s="2315"/>
      <c r="N166" s="1549"/>
      <c r="O166" s="309"/>
      <c r="Q166" s="340"/>
    </row>
    <row r="167" spans="1:17" x14ac:dyDescent="0.25">
      <c r="A167" s="341"/>
      <c r="B167" s="341"/>
      <c r="C167" s="1545"/>
      <c r="D167" s="1529"/>
      <c r="E167" s="1496"/>
      <c r="F167" s="1496"/>
      <c r="G167" s="1496"/>
      <c r="H167" s="1496"/>
      <c r="I167" s="1496"/>
      <c r="J167" s="1496"/>
      <c r="K167" s="1496"/>
      <c r="L167" s="1496"/>
      <c r="M167" s="1496"/>
      <c r="N167" s="1549"/>
      <c r="O167" s="309"/>
      <c r="Q167" s="340"/>
    </row>
    <row r="168" spans="1:17" x14ac:dyDescent="0.25">
      <c r="A168" s="341"/>
      <c r="B168" s="341"/>
      <c r="C168" s="1545"/>
      <c r="D168" s="1584" t="s">
        <v>654</v>
      </c>
      <c r="E168" s="1551" t="s">
        <v>944</v>
      </c>
      <c r="F168" s="1496"/>
      <c r="G168" s="1547"/>
      <c r="H168" s="1547"/>
      <c r="I168" s="1547"/>
      <c r="J168" s="1547"/>
      <c r="K168" s="1547"/>
      <c r="L168" s="1547"/>
      <c r="M168" s="1549"/>
      <c r="N168" s="1549"/>
      <c r="O168" s="309"/>
      <c r="Q168" s="340"/>
    </row>
    <row r="169" spans="1:17" x14ac:dyDescent="0.25">
      <c r="A169" s="256">
        <v>13</v>
      </c>
      <c r="B169" s="256">
        <v>97</v>
      </c>
      <c r="C169" s="1492"/>
      <c r="D169" s="1493"/>
      <c r="E169" s="2317" t="s">
        <v>1408</v>
      </c>
      <c r="F169" s="2317"/>
      <c r="G169" s="2317"/>
      <c r="H169" s="2317"/>
      <c r="I169" s="2317"/>
      <c r="J169" s="2317"/>
      <c r="K169" s="2317"/>
      <c r="L169" s="2317"/>
      <c r="M169" s="2317"/>
      <c r="N169" s="2317"/>
    </row>
    <row r="170" spans="1:17" ht="49.5" customHeight="1" x14ac:dyDescent="0.25">
      <c r="A170" s="256"/>
      <c r="B170" s="256"/>
      <c r="C170" s="1585"/>
      <c r="D170" s="1493"/>
      <c r="E170" s="2333" t="str">
        <f>"Council borrowings are measured at amortised cost with interest recognised in profit or loss when incurred. The fair value of borrowings disclosed in note "&amp;'Note 6 to 8'!E282&amp;" is provided by Tascorp (level 2). OR The fair value of borrowings disclosed in note  "&amp;'Note 6 to 8'!E282&amp;" equates to the carrying amount as the carrying amount  approximates fair value (level 2)."</f>
        <v>Council borrowings are measured at amortised cost with interest recognised in profit or loss when incurred. The fair value of borrowings disclosed in note 8.1 is provided by Tascorp (level 2). OR The fair value of borrowings disclosed in note  8.1 equates to the carrying amount as the carrying amount  approximates fair value (level 2).</v>
      </c>
      <c r="F170" s="2333"/>
      <c r="G170" s="2333"/>
      <c r="H170" s="2333"/>
      <c r="I170" s="2333"/>
      <c r="J170" s="2333"/>
      <c r="K170" s="2333"/>
      <c r="L170" s="2333"/>
      <c r="M170" s="2333"/>
      <c r="N170" s="2333"/>
      <c r="P170" s="353"/>
    </row>
    <row r="171" spans="1:17" s="474" customFormat="1" ht="24.75" customHeight="1" x14ac:dyDescent="0.25">
      <c r="A171" s="590"/>
      <c r="B171" s="590"/>
      <c r="C171" s="1492"/>
      <c r="D171" s="1493"/>
      <c r="E171" s="2317" t="s">
        <v>861</v>
      </c>
      <c r="F171" s="2317"/>
      <c r="G171" s="2317"/>
      <c r="H171" s="2317"/>
      <c r="I171" s="2317"/>
      <c r="J171" s="2317"/>
      <c r="K171" s="2317"/>
      <c r="L171" s="2317"/>
      <c r="M171" s="2317"/>
      <c r="N171" s="2317"/>
      <c r="P171" s="353"/>
    </row>
    <row r="172" spans="1:17" s="474" customFormat="1" ht="12" customHeight="1" x14ac:dyDescent="0.25">
      <c r="A172" s="715"/>
      <c r="B172" s="715"/>
      <c r="C172" s="1492"/>
      <c r="D172" s="1492"/>
      <c r="E172" s="1504"/>
      <c r="F172" s="1504"/>
      <c r="G172" s="1504"/>
      <c r="H172" s="1504"/>
      <c r="I172" s="1504"/>
      <c r="J172" s="1504"/>
      <c r="K172" s="1504"/>
      <c r="L172" s="1504"/>
      <c r="M172" s="1504"/>
      <c r="N172" s="1504"/>
      <c r="P172" s="353"/>
    </row>
    <row r="173" spans="1:17" s="474" customFormat="1" x14ac:dyDescent="0.25">
      <c r="A173" s="715"/>
      <c r="B173" s="715"/>
      <c r="C173" s="1584" t="s">
        <v>773</v>
      </c>
      <c r="D173" s="1586">
        <v>9.1300000000000008</v>
      </c>
      <c r="E173" s="1584" t="s">
        <v>772</v>
      </c>
      <c r="F173" s="1496"/>
      <c r="G173" s="1504"/>
      <c r="H173" s="1504"/>
      <c r="I173" s="1504"/>
      <c r="J173" s="1504"/>
      <c r="K173" s="1504"/>
      <c r="L173" s="1504"/>
      <c r="M173" s="1504"/>
      <c r="N173" s="1504"/>
      <c r="P173" s="353"/>
    </row>
    <row r="174" spans="1:17" s="474" customFormat="1" x14ac:dyDescent="0.25">
      <c r="A174" s="715"/>
      <c r="B174" s="715"/>
      <c r="C174" s="1496"/>
      <c r="D174" s="1584" t="s">
        <v>204</v>
      </c>
      <c r="E174" s="1587" t="s">
        <v>797</v>
      </c>
      <c r="F174" s="1587"/>
      <c r="G174" s="1587"/>
      <c r="H174" s="1587"/>
      <c r="I174" s="1587"/>
      <c r="J174" s="1587"/>
      <c r="K174" s="1587"/>
      <c r="L174" s="1587"/>
      <c r="M174" s="1587"/>
      <c r="N174" s="1587"/>
      <c r="P174" s="353"/>
    </row>
    <row r="175" spans="1:17" x14ac:dyDescent="0.25">
      <c r="A175" s="256"/>
      <c r="B175" s="256"/>
      <c r="C175" s="1492"/>
      <c r="D175" s="1496"/>
      <c r="E175" s="1496"/>
      <c r="F175" s="1496"/>
      <c r="G175" s="1496"/>
      <c r="H175" s="1496"/>
      <c r="I175" s="1496"/>
      <c r="J175" s="1496"/>
      <c r="K175" s="1496"/>
      <c r="L175" s="1496"/>
      <c r="M175" s="1496"/>
      <c r="N175" s="1496"/>
      <c r="O175" s="361"/>
    </row>
    <row r="176" spans="1:17" s="474" customFormat="1" ht="32.25" customHeight="1" x14ac:dyDescent="0.25">
      <c r="A176" s="577"/>
      <c r="B176" s="577"/>
      <c r="C176" s="431"/>
      <c r="D176" s="475"/>
      <c r="E176" s="578"/>
      <c r="F176" s="578"/>
      <c r="G176" s="578"/>
      <c r="H176" s="578"/>
      <c r="I176" s="578"/>
      <c r="J176" s="578"/>
      <c r="K176" s="578"/>
      <c r="L176" s="578"/>
      <c r="M176" s="578"/>
      <c r="N176" s="578"/>
      <c r="O176" s="361"/>
    </row>
    <row r="177" spans="1:17" x14ac:dyDescent="0.25">
      <c r="A177" s="256"/>
      <c r="B177" s="256"/>
      <c r="C177" s="431"/>
      <c r="E177" s="320"/>
      <c r="F177" s="2340"/>
      <c r="G177" s="2340"/>
      <c r="H177" s="2340"/>
      <c r="I177" s="2340"/>
      <c r="J177" s="2340"/>
      <c r="K177" s="2340"/>
      <c r="L177" s="2340"/>
      <c r="M177" s="2340"/>
      <c r="N177" s="2340"/>
      <c r="O177" s="2340"/>
    </row>
    <row r="178" spans="1:17" x14ac:dyDescent="0.25">
      <c r="A178" s="341"/>
      <c r="B178" s="341"/>
      <c r="C178" s="431"/>
      <c r="D178" s="325"/>
      <c r="E178" s="326"/>
      <c r="F178" s="342"/>
      <c r="G178" s="343"/>
      <c r="H178" s="343"/>
      <c r="I178" s="343"/>
      <c r="J178" s="343"/>
      <c r="K178" s="343"/>
      <c r="L178" s="343"/>
      <c r="M178" s="309"/>
      <c r="N178" s="309"/>
      <c r="O178" s="309"/>
      <c r="Q178" s="340"/>
    </row>
    <row r="179" spans="1:17" x14ac:dyDescent="0.25">
      <c r="A179" s="341"/>
      <c r="B179" s="341"/>
      <c r="C179" s="351"/>
      <c r="D179" s="325"/>
      <c r="E179" s="326"/>
      <c r="F179" s="342"/>
      <c r="G179" s="343"/>
      <c r="H179" s="343"/>
      <c r="I179" s="343"/>
      <c r="J179" s="343"/>
      <c r="K179" s="343"/>
      <c r="L179" s="343"/>
      <c r="M179" s="309"/>
      <c r="N179" s="309"/>
      <c r="O179" s="309"/>
      <c r="Q179" s="340"/>
    </row>
    <row r="180" spans="1:17" x14ac:dyDescent="0.25">
      <c r="A180" s="341"/>
      <c r="B180" s="341"/>
      <c r="C180" s="351"/>
      <c r="D180" s="325"/>
      <c r="E180" s="326"/>
      <c r="F180" s="342"/>
      <c r="G180" s="343"/>
      <c r="H180" s="343"/>
      <c r="I180" s="343"/>
      <c r="J180" s="343"/>
      <c r="K180" s="343"/>
      <c r="L180" s="343"/>
      <c r="M180" s="309"/>
      <c r="N180" s="309"/>
      <c r="O180" s="309"/>
      <c r="Q180" s="340"/>
    </row>
    <row r="181" spans="1:17" x14ac:dyDescent="0.25">
      <c r="A181" s="341"/>
      <c r="B181" s="341"/>
      <c r="C181" s="351"/>
      <c r="D181" s="325"/>
      <c r="E181" s="326"/>
      <c r="F181" s="342"/>
      <c r="G181" s="343"/>
      <c r="H181" s="343"/>
      <c r="I181" s="343"/>
      <c r="J181" s="343"/>
      <c r="K181" s="343"/>
      <c r="L181" s="343"/>
      <c r="M181" s="309"/>
      <c r="N181" s="309"/>
      <c r="O181" s="309"/>
      <c r="Q181" s="340"/>
    </row>
    <row r="182" spans="1:17" x14ac:dyDescent="0.25">
      <c r="A182" s="579"/>
      <c r="B182" s="579"/>
      <c r="C182" s="351"/>
      <c r="D182" s="579"/>
      <c r="E182" s="579"/>
      <c r="F182" s="579"/>
      <c r="G182" s="579"/>
      <c r="H182" s="579"/>
      <c r="I182" s="579"/>
      <c r="J182" s="579"/>
      <c r="K182" s="579"/>
      <c r="L182" s="579"/>
      <c r="M182" s="579"/>
      <c r="N182" s="579"/>
      <c r="O182" s="579"/>
    </row>
    <row r="183" spans="1:17" x14ac:dyDescent="0.25">
      <c r="C183" s="579"/>
    </row>
    <row r="349" spans="2:16" s="339" customFormat="1" ht="11.25" customHeight="1" x14ac:dyDescent="0.25">
      <c r="B349" s="318"/>
      <c r="C349" s="350"/>
      <c r="D349" s="320"/>
      <c r="E349" s="321"/>
      <c r="F349" s="331"/>
      <c r="G349" s="319"/>
      <c r="H349" s="319"/>
      <c r="I349" s="319"/>
      <c r="J349" s="332"/>
      <c r="K349" s="319"/>
      <c r="L349" s="319"/>
      <c r="M349" s="319"/>
      <c r="N349" s="319"/>
      <c r="O349" s="319"/>
      <c r="P349" s="319"/>
    </row>
  </sheetData>
  <mergeCells count="87">
    <mergeCell ref="F177:O177"/>
    <mergeCell ref="M38:M39"/>
    <mergeCell ref="E166:M166"/>
    <mergeCell ref="E170:N170"/>
    <mergeCell ref="E169:N169"/>
    <mergeCell ref="J140:K140"/>
    <mergeCell ref="J141:K141"/>
    <mergeCell ref="J142:K142"/>
    <mergeCell ref="E161:N161"/>
    <mergeCell ref="E146:N146"/>
    <mergeCell ref="E171:N171"/>
    <mergeCell ref="E164:N164"/>
    <mergeCell ref="M58:M59"/>
    <mergeCell ref="M41:M42"/>
    <mergeCell ref="M52:M54"/>
    <mergeCell ref="G143:N143"/>
    <mergeCell ref="E16:M16"/>
    <mergeCell ref="F1:O1"/>
    <mergeCell ref="F2:O2"/>
    <mergeCell ref="E4:F4"/>
    <mergeCell ref="E17:N17"/>
    <mergeCell ref="E20:N20"/>
    <mergeCell ref="E26:N26"/>
    <mergeCell ref="M32:M34"/>
    <mergeCell ref="F21:N21"/>
    <mergeCell ref="F22:N22"/>
    <mergeCell ref="F23:N23"/>
    <mergeCell ref="J75:L75"/>
    <mergeCell ref="E67:N67"/>
    <mergeCell ref="E159:H159"/>
    <mergeCell ref="E151:H151"/>
    <mergeCell ref="G142:I142"/>
    <mergeCell ref="L142:N142"/>
    <mergeCell ref="E133:N133"/>
    <mergeCell ref="E68:N68"/>
    <mergeCell ref="E98:M98"/>
    <mergeCell ref="H69:I69"/>
    <mergeCell ref="H70:I70"/>
    <mergeCell ref="H74:I74"/>
    <mergeCell ref="H75:I75"/>
    <mergeCell ref="E90:N90"/>
    <mergeCell ref="Q4:Y4"/>
    <mergeCell ref="E119:M119"/>
    <mergeCell ref="E108:N108"/>
    <mergeCell ref="E109:N109"/>
    <mergeCell ref="E110:N110"/>
    <mergeCell ref="E111:N111"/>
    <mergeCell ref="E101:N101"/>
    <mergeCell ref="E97:N97"/>
    <mergeCell ref="E94:N94"/>
    <mergeCell ref="E99:N99"/>
    <mergeCell ref="E87:N87"/>
    <mergeCell ref="E88:N88"/>
    <mergeCell ref="F91:N91"/>
    <mergeCell ref="E89:N89"/>
    <mergeCell ref="M61:M62"/>
    <mergeCell ref="J74:L74"/>
    <mergeCell ref="E165:N165"/>
    <mergeCell ref="E139:M139"/>
    <mergeCell ref="E25:N25"/>
    <mergeCell ref="E102:N102"/>
    <mergeCell ref="E83:N83"/>
    <mergeCell ref="E93:N93"/>
    <mergeCell ref="J69:L69"/>
    <mergeCell ref="J76:L76"/>
    <mergeCell ref="J70:L70"/>
    <mergeCell ref="J71:L71"/>
    <mergeCell ref="E80:N80"/>
    <mergeCell ref="E148:N148"/>
    <mergeCell ref="L140:N140"/>
    <mergeCell ref="L141:N141"/>
    <mergeCell ref="E152:J152"/>
    <mergeCell ref="E154:J154"/>
    <mergeCell ref="Q146:X146"/>
    <mergeCell ref="E122:N122"/>
    <mergeCell ref="E114:N114"/>
    <mergeCell ref="E115:N115"/>
    <mergeCell ref="E116:N116"/>
    <mergeCell ref="E117:N117"/>
    <mergeCell ref="E123:N123"/>
    <mergeCell ref="E126:N126"/>
    <mergeCell ref="E129:N129"/>
    <mergeCell ref="E118:N118"/>
    <mergeCell ref="E130:N130"/>
    <mergeCell ref="Q141:Q142"/>
    <mergeCell ref="G140:I140"/>
    <mergeCell ref="G141:I141"/>
  </mergeCells>
  <pageMargins left="0.31496062992125984" right="0.31496062992125984" top="0.35433070866141736" bottom="0.35433070866141736" header="0.11811023622047245" footer="0.11811023622047245"/>
  <pageSetup paperSize="9" orientation="portrait" r:id="rId1"/>
  <headerFooter>
    <oddFooter>&amp;R&amp;P</oddFooter>
  </headerFooter>
  <rowBreaks count="3" manualBreakCount="3">
    <brk id="44" min="2" max="14" man="1"/>
    <brk id="103" min="2" max="14" man="1"/>
    <brk id="130" min="2" max="14"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D610"/>
  <sheetViews>
    <sheetView showGridLines="0" view="pageBreakPreview" zoomScaleNormal="100" zoomScaleSheetLayoutView="100" workbookViewId="0"/>
  </sheetViews>
  <sheetFormatPr defaultColWidth="9" defaultRowHeight="13.8" x14ac:dyDescent="0.25"/>
  <cols>
    <col min="1" max="1" width="8" style="1" customWidth="1"/>
    <col min="2" max="2" width="8.59765625" style="1" customWidth="1"/>
    <col min="3" max="3" width="0.69921875" style="1" customWidth="1"/>
    <col min="4" max="5" width="3.69921875" style="126" customWidth="1"/>
    <col min="6" max="6" width="4.8984375" style="1" customWidth="1"/>
    <col min="7" max="7" width="19.09765625" style="126" customWidth="1"/>
    <col min="8" max="9" width="8.09765625" style="1" bestFit="1" customWidth="1"/>
    <col min="10" max="10" width="8" style="1" bestFit="1" customWidth="1"/>
    <col min="11" max="11" width="6.69921875" style="1" bestFit="1" customWidth="1"/>
    <col min="12" max="12" width="2.5" style="1" customWidth="1"/>
    <col min="13" max="13" width="8.09765625" style="1" bestFit="1" customWidth="1"/>
    <col min="14" max="14" width="8" style="1" bestFit="1" customWidth="1"/>
    <col min="15" max="15" width="6.69921875" style="1" bestFit="1" customWidth="1"/>
    <col min="16" max="16" width="2.09765625" style="1" customWidth="1"/>
    <col min="17" max="17" width="8.3984375" style="1" customWidth="1"/>
    <col min="18" max="18" width="28.69921875" style="1" customWidth="1"/>
    <col min="19" max="19" width="8.69921875" style="1" customWidth="1"/>
    <col min="20" max="20" width="11.09765625" style="11" customWidth="1"/>
    <col min="21" max="21" width="3.09765625" style="11" customWidth="1"/>
    <col min="22" max="22" width="7.69921875" style="11" customWidth="1"/>
    <col min="23" max="23" width="6" style="1" customWidth="1"/>
    <col min="24" max="24" width="11.5" style="1" customWidth="1"/>
    <col min="25" max="16384" width="9" style="1"/>
  </cols>
  <sheetData>
    <row r="1" spans="1:27" ht="16.5" customHeight="1" x14ac:dyDescent="0.25">
      <c r="A1" s="145" t="s">
        <v>206</v>
      </c>
      <c r="B1" s="145"/>
      <c r="C1" s="50" t="str">
        <f>IF('Merge Details_Printing instr'!$B$11="Insert details here",'Merge Details_Printing instr'!$A$11,'Merge Details_Printing instr'!$B$11)</f>
        <v>Council Name</v>
      </c>
      <c r="H1" s="2129" t="s">
        <v>303</v>
      </c>
      <c r="I1" s="2129"/>
      <c r="J1" s="2129"/>
      <c r="K1" s="2129"/>
      <c r="L1" s="2129"/>
      <c r="M1" s="2129"/>
      <c r="N1" s="2129"/>
      <c r="O1" s="2129"/>
    </row>
    <row r="2" spans="1:27" s="32" customFormat="1" ht="18.75" customHeight="1" x14ac:dyDescent="0.25">
      <c r="A2" s="145" t="s">
        <v>696</v>
      </c>
      <c r="B2" s="145" t="s">
        <v>207</v>
      </c>
      <c r="C2" s="98" t="str">
        <f>'Merge Details_Printing instr'!A12</f>
        <v>2023-2024 Financial Report</v>
      </c>
      <c r="D2" s="275"/>
      <c r="E2" s="275"/>
      <c r="F2" s="33"/>
      <c r="G2" s="275"/>
      <c r="H2" s="2130" t="str">
        <f>'Merge Details_Printing instr'!$A$14</f>
        <v>For the Year Ended 30 June 2024</v>
      </c>
      <c r="I2" s="2130"/>
      <c r="J2" s="2130"/>
      <c r="K2" s="2130"/>
      <c r="L2" s="2130"/>
      <c r="M2" s="2130"/>
      <c r="N2" s="2130"/>
      <c r="O2" s="2130"/>
      <c r="R2" s="1"/>
      <c r="T2" s="34"/>
      <c r="U2" s="34"/>
      <c r="V2" s="34"/>
    </row>
    <row r="3" spans="1:27" s="246" customFormat="1" ht="6" customHeight="1" x14ac:dyDescent="0.25">
      <c r="A3" s="237"/>
      <c r="B3" s="237"/>
      <c r="D3" s="716"/>
      <c r="E3" s="716"/>
      <c r="F3" s="4"/>
      <c r="G3" s="716"/>
      <c r="N3" s="49"/>
      <c r="O3" s="30"/>
      <c r="R3" s="1"/>
      <c r="T3" s="19"/>
      <c r="U3" s="19"/>
      <c r="V3" s="19"/>
    </row>
    <row r="4" spans="1:27" s="474" customFormat="1" ht="15" thickBot="1" x14ac:dyDescent="0.3">
      <c r="A4" s="467">
        <v>108</v>
      </c>
      <c r="B4" s="726" t="s">
        <v>1691</v>
      </c>
      <c r="C4" s="1496"/>
      <c r="D4" s="1584" t="s">
        <v>286</v>
      </c>
      <c r="E4" s="1586">
        <v>9.14</v>
      </c>
      <c r="F4" s="1584" t="s">
        <v>1713</v>
      </c>
      <c r="G4" s="1584"/>
      <c r="H4" s="1584"/>
      <c r="I4" s="1584"/>
      <c r="J4" s="1584"/>
      <c r="K4" s="1584"/>
      <c r="L4" s="1584"/>
      <c r="M4" s="1584"/>
      <c r="N4" s="1584"/>
      <c r="O4" s="1584"/>
      <c r="P4" s="1584"/>
      <c r="Q4" s="477"/>
      <c r="U4" s="2344"/>
      <c r="V4" s="2344"/>
      <c r="W4" s="2344"/>
      <c r="X4" s="2344"/>
      <c r="Y4" s="2344"/>
      <c r="Z4" s="2344"/>
      <c r="AA4" s="717"/>
    </row>
    <row r="5" spans="1:27" s="474" customFormat="1" ht="100.5" customHeight="1" thickBot="1" x14ac:dyDescent="0.3">
      <c r="A5" s="466"/>
      <c r="B5" s="466"/>
      <c r="C5" s="1496"/>
      <c r="D5" s="1496"/>
      <c r="E5" s="1496"/>
      <c r="F5" s="2345" t="s">
        <v>1711</v>
      </c>
      <c r="G5" s="2346"/>
      <c r="H5" s="2346"/>
      <c r="I5" s="2346"/>
      <c r="J5" s="2346"/>
      <c r="K5" s="2346"/>
      <c r="L5" s="2346"/>
      <c r="M5" s="2346"/>
      <c r="N5" s="2346"/>
      <c r="O5" s="2347"/>
      <c r="P5" s="1588"/>
      <c r="Q5" s="458"/>
      <c r="S5" s="476"/>
      <c r="U5" s="2344"/>
      <c r="V5" s="2344"/>
      <c r="W5" s="2344"/>
      <c r="X5" s="2344"/>
      <c r="Y5" s="2344"/>
      <c r="Z5" s="2344"/>
    </row>
    <row r="6" spans="1:27" s="246" customFormat="1" ht="5.25" customHeight="1" x14ac:dyDescent="0.25">
      <c r="A6" s="237"/>
      <c r="B6" s="237"/>
      <c r="C6" s="955"/>
      <c r="D6" s="956"/>
      <c r="E6" s="960"/>
      <c r="F6" s="960"/>
      <c r="G6" s="960"/>
      <c r="H6" s="960"/>
      <c r="I6" s="960"/>
      <c r="J6" s="960"/>
      <c r="K6" s="960"/>
      <c r="L6" s="955"/>
      <c r="M6" s="955"/>
      <c r="N6" s="955"/>
      <c r="O6" s="955"/>
      <c r="P6" s="955"/>
      <c r="R6" s="1"/>
      <c r="T6" s="19"/>
      <c r="U6" s="19"/>
      <c r="V6" s="19"/>
    </row>
    <row r="7" spans="1:27" s="246" customFormat="1" ht="83.25" customHeight="1" x14ac:dyDescent="0.25">
      <c r="A7" s="730">
        <v>108</v>
      </c>
      <c r="B7" s="729" t="s">
        <v>1692</v>
      </c>
      <c r="C7" s="955"/>
      <c r="D7" s="956"/>
      <c r="E7" s="960"/>
      <c r="F7" s="2230" t="s">
        <v>1897</v>
      </c>
      <c r="G7" s="2230"/>
      <c r="H7" s="2230"/>
      <c r="I7" s="2230"/>
      <c r="J7" s="2230"/>
      <c r="K7" s="2230"/>
      <c r="L7" s="2230"/>
      <c r="M7" s="2230"/>
      <c r="N7" s="2230"/>
      <c r="O7" s="2230"/>
      <c r="P7" s="955"/>
      <c r="R7" s="1"/>
      <c r="T7" s="19"/>
      <c r="U7" s="19"/>
      <c r="V7" s="19"/>
    </row>
    <row r="8" spans="1:27" s="246" customFormat="1" ht="46.5" customHeight="1" x14ac:dyDescent="0.25">
      <c r="A8" s="730">
        <v>108</v>
      </c>
      <c r="B8" s="729">
        <v>43</v>
      </c>
      <c r="C8" s="955"/>
      <c r="D8" s="956"/>
      <c r="E8" s="960"/>
      <c r="F8" s="2230" t="s">
        <v>1827</v>
      </c>
      <c r="G8" s="2230"/>
      <c r="H8" s="2230"/>
      <c r="I8" s="2230"/>
      <c r="J8" s="2230"/>
      <c r="K8" s="2230"/>
      <c r="L8" s="2230"/>
      <c r="M8" s="2230"/>
      <c r="N8" s="2230"/>
      <c r="O8" s="2230"/>
      <c r="P8" s="955"/>
      <c r="R8" s="1"/>
      <c r="T8" s="19"/>
      <c r="U8" s="19"/>
      <c r="V8" s="19"/>
    </row>
    <row r="9" spans="1:27" s="246" customFormat="1" ht="14.4" x14ac:dyDescent="0.25">
      <c r="A9" s="237"/>
      <c r="B9" s="237"/>
      <c r="C9" s="955"/>
      <c r="D9" s="956"/>
      <c r="E9" s="960"/>
      <c r="F9" s="960"/>
      <c r="G9" s="960"/>
      <c r="H9" s="960"/>
      <c r="I9" s="960"/>
      <c r="J9" s="1293">
        <v>2023</v>
      </c>
      <c r="K9" s="1589"/>
      <c r="L9" s="1590"/>
      <c r="M9" s="1590"/>
      <c r="N9" s="1268">
        <v>2022</v>
      </c>
      <c r="O9" s="954"/>
      <c r="P9" s="955"/>
      <c r="R9" s="1"/>
      <c r="T9" s="19"/>
      <c r="U9" s="19"/>
      <c r="V9" s="19"/>
    </row>
    <row r="10" spans="1:27" s="246" customFormat="1" ht="55.2" x14ac:dyDescent="0.25">
      <c r="A10" s="237"/>
      <c r="B10" s="237"/>
      <c r="C10" s="955"/>
      <c r="D10" s="961"/>
      <c r="E10" s="956"/>
      <c r="F10" s="955"/>
      <c r="G10" s="955"/>
      <c r="H10" s="955"/>
      <c r="I10" s="1591" t="s">
        <v>1693</v>
      </c>
      <c r="J10" s="1591" t="s">
        <v>1694</v>
      </c>
      <c r="K10" s="1591" t="s">
        <v>1695</v>
      </c>
      <c r="L10" s="1592"/>
      <c r="M10" s="1591" t="s">
        <v>1693</v>
      </c>
      <c r="N10" s="1591" t="s">
        <v>1694</v>
      </c>
      <c r="O10" s="1591" t="s">
        <v>1695</v>
      </c>
      <c r="P10" s="955"/>
      <c r="R10" s="1"/>
      <c r="T10" s="19"/>
      <c r="U10" s="19"/>
      <c r="V10" s="19"/>
    </row>
    <row r="11" spans="1:27" s="246" customFormat="1" ht="14.4" x14ac:dyDescent="0.25">
      <c r="A11" s="237"/>
      <c r="B11" s="237"/>
      <c r="C11" s="955"/>
      <c r="D11" s="961"/>
      <c r="E11" s="956"/>
      <c r="F11" s="1593" t="s">
        <v>1696</v>
      </c>
      <c r="G11" s="955"/>
      <c r="H11" s="955"/>
      <c r="I11" s="1592" t="s">
        <v>1298</v>
      </c>
      <c r="J11" s="1592" t="s">
        <v>1298</v>
      </c>
      <c r="K11" s="1592" t="s">
        <v>1298</v>
      </c>
      <c r="L11" s="1594"/>
      <c r="M11" s="1592" t="s">
        <v>1298</v>
      </c>
      <c r="N11" s="1592" t="s">
        <v>1298</v>
      </c>
      <c r="O11" s="1592" t="s">
        <v>1298</v>
      </c>
      <c r="P11" s="955"/>
      <c r="R11" s="1"/>
      <c r="T11" s="19"/>
      <c r="U11" s="19"/>
      <c r="V11" s="19"/>
    </row>
    <row r="12" spans="1:27" s="246" customFormat="1" ht="14.4" x14ac:dyDescent="0.25">
      <c r="A12" s="715"/>
      <c r="B12" s="237"/>
      <c r="C12" s="955"/>
      <c r="D12" s="963"/>
      <c r="E12" s="963"/>
      <c r="F12" s="955"/>
      <c r="G12" s="955"/>
      <c r="H12" s="955"/>
      <c r="I12" s="955"/>
      <c r="J12" s="955"/>
      <c r="K12" s="955"/>
      <c r="L12" s="955"/>
      <c r="M12" s="955"/>
      <c r="N12" s="955"/>
      <c r="O12" s="955"/>
      <c r="P12" s="955"/>
      <c r="R12" s="1"/>
      <c r="T12" s="19"/>
      <c r="U12" s="19"/>
      <c r="V12" s="19"/>
    </row>
    <row r="13" spans="1:27" s="246" customFormat="1" ht="14.4" x14ac:dyDescent="0.25">
      <c r="A13" s="237"/>
      <c r="B13" s="237"/>
      <c r="C13" s="955"/>
      <c r="D13" s="963"/>
      <c r="E13" s="963"/>
      <c r="F13" s="1595" t="s">
        <v>1697</v>
      </c>
      <c r="G13" s="955"/>
      <c r="H13" s="955"/>
      <c r="I13" s="955"/>
      <c r="J13" s="955"/>
      <c r="K13" s="955"/>
      <c r="L13" s="955"/>
      <c r="M13" s="955"/>
      <c r="N13" s="955"/>
      <c r="O13" s="955"/>
      <c r="P13" s="955"/>
      <c r="R13" s="301"/>
      <c r="T13" s="19"/>
      <c r="U13" s="19"/>
      <c r="V13" s="19"/>
    </row>
    <row r="14" spans="1:27" s="246" customFormat="1" ht="31.5" customHeight="1" x14ac:dyDescent="0.25">
      <c r="A14" s="237"/>
      <c r="B14" s="237"/>
      <c r="C14" s="955"/>
      <c r="D14" s="963"/>
      <c r="E14" s="963"/>
      <c r="F14" s="955" t="s">
        <v>1698</v>
      </c>
      <c r="G14" s="955"/>
      <c r="H14" s="955"/>
      <c r="I14" s="981">
        <v>0</v>
      </c>
      <c r="J14" s="981">
        <v>0</v>
      </c>
      <c r="K14" s="981">
        <v>0</v>
      </c>
      <c r="L14" s="955"/>
      <c r="M14" s="981">
        <v>0</v>
      </c>
      <c r="N14" s="981">
        <v>0</v>
      </c>
      <c r="O14" s="981">
        <v>0</v>
      </c>
      <c r="P14" s="955"/>
      <c r="R14" s="301"/>
      <c r="T14" s="19"/>
      <c r="U14" s="19"/>
      <c r="V14" s="19"/>
    </row>
    <row r="15" spans="1:27" s="246" customFormat="1" ht="14.4" x14ac:dyDescent="0.25">
      <c r="A15" s="237"/>
      <c r="B15" s="237"/>
      <c r="C15" s="955"/>
      <c r="D15" s="963"/>
      <c r="E15" s="963"/>
      <c r="F15" s="955" t="s">
        <v>1699</v>
      </c>
      <c r="G15" s="963"/>
      <c r="H15" s="955"/>
      <c r="I15" s="981">
        <v>0</v>
      </c>
      <c r="J15" s="981">
        <v>0</v>
      </c>
      <c r="K15" s="981">
        <v>0</v>
      </c>
      <c r="L15" s="955"/>
      <c r="M15" s="981">
        <v>0</v>
      </c>
      <c r="N15" s="981">
        <v>0</v>
      </c>
      <c r="O15" s="981">
        <v>0</v>
      </c>
      <c r="P15" s="955"/>
      <c r="R15" s="1"/>
      <c r="T15" s="19"/>
      <c r="U15" s="19"/>
      <c r="V15" s="19"/>
    </row>
    <row r="16" spans="1:27" s="246" customFormat="1" ht="14.4" x14ac:dyDescent="0.25">
      <c r="A16" s="237"/>
      <c r="B16" s="237"/>
      <c r="C16" s="955"/>
      <c r="D16" s="963"/>
      <c r="E16" s="963"/>
      <c r="F16" s="957" t="s">
        <v>1700</v>
      </c>
      <c r="G16" s="963"/>
      <c r="H16" s="966"/>
      <c r="I16" s="984">
        <f>SUM(I14:I15)</f>
        <v>0</v>
      </c>
      <c r="J16" s="984">
        <f>SUM(J14:J15)</f>
        <v>0</v>
      </c>
      <c r="K16" s="984">
        <f>SUM(K14:K15)</f>
        <v>0</v>
      </c>
      <c r="L16" s="955"/>
      <c r="M16" s="984">
        <f>SUM(M14:M15)</f>
        <v>0</v>
      </c>
      <c r="N16" s="984">
        <f>SUM(N14:N15)</f>
        <v>0</v>
      </c>
      <c r="O16" s="984">
        <f>SUM(O14:O15)</f>
        <v>0</v>
      </c>
      <c r="P16" s="955"/>
      <c r="R16" s="1"/>
      <c r="T16" s="19"/>
      <c r="U16" s="19"/>
      <c r="V16" s="19"/>
    </row>
    <row r="17" spans="1:22" s="246" customFormat="1" ht="14.4" x14ac:dyDescent="0.25">
      <c r="A17" s="237"/>
      <c r="B17" s="237"/>
      <c r="C17" s="955"/>
      <c r="D17" s="963"/>
      <c r="E17" s="963"/>
      <c r="F17" s="955"/>
      <c r="G17" s="963"/>
      <c r="H17" s="955"/>
      <c r="I17" s="955"/>
      <c r="J17" s="955"/>
      <c r="K17" s="955"/>
      <c r="L17" s="955"/>
      <c r="M17" s="955"/>
      <c r="N17" s="967"/>
      <c r="O17" s="967"/>
      <c r="P17" s="955"/>
      <c r="R17" s="1"/>
      <c r="T17" s="19"/>
      <c r="U17" s="19"/>
      <c r="V17" s="19"/>
    </row>
    <row r="18" spans="1:22" s="246" customFormat="1" ht="14.4" x14ac:dyDescent="0.25">
      <c r="A18" s="237"/>
      <c r="B18" s="237"/>
      <c r="C18" s="955"/>
      <c r="D18" s="963"/>
      <c r="E18" s="963"/>
      <c r="F18" s="957" t="s">
        <v>1701</v>
      </c>
      <c r="G18" s="963"/>
      <c r="H18" s="955"/>
      <c r="I18" s="981">
        <v>0</v>
      </c>
      <c r="J18" s="981">
        <v>0</v>
      </c>
      <c r="K18" s="981">
        <v>0</v>
      </c>
      <c r="L18" s="955"/>
      <c r="M18" s="981">
        <v>0</v>
      </c>
      <c r="N18" s="981">
        <v>0</v>
      </c>
      <c r="O18" s="981">
        <v>0</v>
      </c>
      <c r="P18" s="955"/>
      <c r="R18" s="1"/>
      <c r="T18" s="19"/>
      <c r="U18" s="19"/>
      <c r="V18" s="19"/>
    </row>
    <row r="19" spans="1:22" s="246" customFormat="1" ht="14.4" x14ac:dyDescent="0.25">
      <c r="A19" s="237"/>
      <c r="B19" s="237"/>
      <c r="C19" s="955"/>
      <c r="D19" s="963"/>
      <c r="E19" s="963"/>
      <c r="F19" s="955"/>
      <c r="G19" s="963"/>
      <c r="H19" s="955"/>
      <c r="I19" s="955"/>
      <c r="J19" s="955"/>
      <c r="K19" s="955"/>
      <c r="L19" s="955"/>
      <c r="M19" s="955"/>
      <c r="N19" s="967"/>
      <c r="O19" s="967"/>
      <c r="P19" s="955"/>
      <c r="R19" s="1"/>
      <c r="T19" s="19"/>
      <c r="U19" s="19"/>
      <c r="V19" s="19"/>
    </row>
    <row r="20" spans="1:22" s="246" customFormat="1" ht="14.4" x14ac:dyDescent="0.25">
      <c r="A20" s="237"/>
      <c r="B20" s="237"/>
      <c r="C20" s="955"/>
      <c r="D20" s="963"/>
      <c r="E20" s="963"/>
      <c r="F20" s="955" t="s">
        <v>428</v>
      </c>
      <c r="G20" s="963"/>
      <c r="H20" s="955"/>
      <c r="I20" s="981">
        <v>0</v>
      </c>
      <c r="J20" s="981">
        <v>0</v>
      </c>
      <c r="K20" s="981">
        <v>0</v>
      </c>
      <c r="L20" s="955"/>
      <c r="M20" s="981">
        <v>0</v>
      </c>
      <c r="N20" s="981">
        <v>0</v>
      </c>
      <c r="O20" s="981">
        <v>0</v>
      </c>
      <c r="P20" s="955"/>
      <c r="R20" s="1"/>
      <c r="T20" s="19"/>
      <c r="U20" s="19"/>
      <c r="V20" s="19"/>
    </row>
    <row r="21" spans="1:22" s="246" customFormat="1" ht="14.4" x14ac:dyDescent="0.25">
      <c r="A21" s="237"/>
      <c r="B21" s="237"/>
      <c r="C21" s="955"/>
      <c r="D21" s="963"/>
      <c r="E21" s="963"/>
      <c r="F21" s="955" t="s">
        <v>419</v>
      </c>
      <c r="G21" s="963"/>
      <c r="H21" s="955"/>
      <c r="I21" s="981">
        <v>0</v>
      </c>
      <c r="J21" s="981">
        <v>0</v>
      </c>
      <c r="K21" s="981">
        <v>0</v>
      </c>
      <c r="L21" s="955"/>
      <c r="M21" s="981">
        <v>0</v>
      </c>
      <c r="N21" s="981">
        <v>0</v>
      </c>
      <c r="O21" s="981">
        <v>0</v>
      </c>
      <c r="P21" s="955"/>
      <c r="R21" s="1"/>
      <c r="T21" s="19"/>
      <c r="U21" s="19"/>
      <c r="V21" s="19"/>
    </row>
    <row r="22" spans="1:22" s="246" customFormat="1" ht="14.4" x14ac:dyDescent="0.25">
      <c r="A22" s="237"/>
      <c r="B22" s="237"/>
      <c r="C22" s="955"/>
      <c r="D22" s="963"/>
      <c r="E22" s="963"/>
      <c r="F22" s="957" t="s">
        <v>1702</v>
      </c>
      <c r="G22" s="963"/>
      <c r="H22" s="955"/>
      <c r="I22" s="984">
        <f t="shared" ref="I22:K22" si="0">SUM(I20:I21)</f>
        <v>0</v>
      </c>
      <c r="J22" s="984">
        <f t="shared" si="0"/>
        <v>0</v>
      </c>
      <c r="K22" s="984">
        <f t="shared" si="0"/>
        <v>0</v>
      </c>
      <c r="L22" s="955"/>
      <c r="M22" s="984">
        <f t="shared" ref="M22:O22" si="1">SUM(M20:M21)</f>
        <v>0</v>
      </c>
      <c r="N22" s="984">
        <f t="shared" si="1"/>
        <v>0</v>
      </c>
      <c r="O22" s="984">
        <f t="shared" si="1"/>
        <v>0</v>
      </c>
      <c r="P22" s="955"/>
      <c r="R22" s="1"/>
      <c r="T22" s="19"/>
      <c r="U22" s="19"/>
      <c r="V22" s="19"/>
    </row>
    <row r="23" spans="1:22" s="246" customFormat="1" ht="14.4" x14ac:dyDescent="0.25">
      <c r="A23" s="237"/>
      <c r="B23" s="237"/>
      <c r="C23" s="955"/>
      <c r="D23" s="963"/>
      <c r="E23" s="963"/>
      <c r="F23" s="955"/>
      <c r="G23" s="963"/>
      <c r="H23" s="955"/>
      <c r="I23" s="955"/>
      <c r="J23" s="955"/>
      <c r="K23" s="955"/>
      <c r="L23" s="955"/>
      <c r="M23" s="955"/>
      <c r="N23" s="967"/>
      <c r="O23" s="970"/>
      <c r="P23" s="955"/>
      <c r="R23" s="1"/>
      <c r="T23" s="19"/>
      <c r="U23" s="19"/>
      <c r="V23" s="19"/>
    </row>
    <row r="24" spans="1:22" s="246" customFormat="1" ht="14.4" x14ac:dyDescent="0.25">
      <c r="A24" s="237"/>
      <c r="B24" s="237"/>
      <c r="C24" s="955"/>
      <c r="D24" s="963"/>
      <c r="E24" s="963"/>
      <c r="F24" s="1595" t="s">
        <v>1703</v>
      </c>
      <c r="G24" s="963"/>
      <c r="H24" s="955"/>
      <c r="I24" s="955"/>
      <c r="J24" s="955"/>
      <c r="K24" s="955"/>
      <c r="L24" s="955"/>
      <c r="M24" s="955"/>
      <c r="N24" s="967"/>
      <c r="O24" s="970"/>
      <c r="P24" s="955"/>
      <c r="R24" s="1"/>
      <c r="T24" s="19"/>
      <c r="U24" s="19"/>
      <c r="V24" s="19"/>
    </row>
    <row r="25" spans="1:22" s="246" customFormat="1" ht="14.4" x14ac:dyDescent="0.25">
      <c r="A25" s="237"/>
      <c r="B25" s="237"/>
      <c r="C25" s="955"/>
      <c r="D25" s="963"/>
      <c r="E25" s="963"/>
      <c r="F25" s="955" t="s">
        <v>1704</v>
      </c>
      <c r="G25" s="963"/>
      <c r="H25" s="955"/>
      <c r="I25" s="981">
        <v>0</v>
      </c>
      <c r="J25" s="981">
        <v>0</v>
      </c>
      <c r="K25" s="981">
        <v>0</v>
      </c>
      <c r="L25" s="955"/>
      <c r="M25" s="981">
        <v>0</v>
      </c>
      <c r="N25" s="981">
        <v>0</v>
      </c>
      <c r="O25" s="981">
        <v>0</v>
      </c>
      <c r="P25" s="955"/>
      <c r="R25" s="1"/>
      <c r="T25" s="19"/>
      <c r="U25" s="19"/>
      <c r="V25" s="19"/>
    </row>
    <row r="26" spans="1:22" s="246" customFormat="1" ht="14.4" x14ac:dyDescent="0.25">
      <c r="A26" s="237"/>
      <c r="B26" s="237"/>
      <c r="C26" s="955"/>
      <c r="D26" s="963"/>
      <c r="E26" s="963"/>
      <c r="F26" s="955" t="s">
        <v>1708</v>
      </c>
      <c r="G26" s="963"/>
      <c r="H26" s="955"/>
      <c r="I26" s="981">
        <v>0</v>
      </c>
      <c r="J26" s="981">
        <v>0</v>
      </c>
      <c r="K26" s="981">
        <v>0</v>
      </c>
      <c r="L26" s="955"/>
      <c r="M26" s="981">
        <v>0</v>
      </c>
      <c r="N26" s="981">
        <v>0</v>
      </c>
      <c r="O26" s="981">
        <v>0</v>
      </c>
      <c r="P26" s="955"/>
      <c r="R26" s="1"/>
      <c r="T26" s="19"/>
      <c r="U26" s="19"/>
      <c r="V26" s="19"/>
    </row>
    <row r="27" spans="1:22" s="246" customFormat="1" ht="14.4" x14ac:dyDescent="0.25">
      <c r="A27" s="237"/>
      <c r="B27" s="237"/>
      <c r="C27" s="955"/>
      <c r="D27" s="963"/>
      <c r="E27" s="963"/>
      <c r="F27" s="957" t="s">
        <v>995</v>
      </c>
      <c r="G27" s="963"/>
      <c r="H27" s="955"/>
      <c r="I27" s="1233">
        <v>0</v>
      </c>
      <c r="J27" s="1233">
        <v>0</v>
      </c>
      <c r="K27" s="1233">
        <v>0</v>
      </c>
      <c r="L27" s="955"/>
      <c r="M27" s="1233">
        <v>0</v>
      </c>
      <c r="N27" s="1233">
        <v>0</v>
      </c>
      <c r="O27" s="1233">
        <v>0</v>
      </c>
      <c r="P27" s="955"/>
      <c r="R27" s="301"/>
      <c r="T27" s="19"/>
      <c r="U27" s="19"/>
      <c r="V27" s="19"/>
    </row>
    <row r="28" spans="1:22" s="246" customFormat="1" ht="14.4" x14ac:dyDescent="0.25">
      <c r="A28" s="237"/>
      <c r="B28" s="237"/>
      <c r="C28" s="955"/>
      <c r="D28" s="963"/>
      <c r="E28" s="963"/>
      <c r="F28" s="955"/>
      <c r="G28" s="963"/>
      <c r="H28" s="955"/>
      <c r="I28" s="955"/>
      <c r="J28" s="955"/>
      <c r="K28" s="955"/>
      <c r="L28" s="955"/>
      <c r="M28" s="955"/>
      <c r="N28" s="967"/>
      <c r="O28" s="970"/>
      <c r="P28" s="972"/>
      <c r="R28" s="1"/>
      <c r="T28" s="19"/>
      <c r="U28" s="19"/>
      <c r="V28" s="19"/>
    </row>
    <row r="29" spans="1:22" s="246" customFormat="1" ht="14.4" x14ac:dyDescent="0.25">
      <c r="A29" s="237"/>
      <c r="B29" s="237"/>
      <c r="C29" s="955"/>
      <c r="D29" s="963"/>
      <c r="E29" s="963"/>
      <c r="F29" s="955" t="s">
        <v>1705</v>
      </c>
      <c r="G29" s="963"/>
      <c r="H29" s="955"/>
      <c r="I29" s="981">
        <v>0</v>
      </c>
      <c r="J29" s="981">
        <v>0</v>
      </c>
      <c r="K29" s="981">
        <v>0</v>
      </c>
      <c r="L29" s="955"/>
      <c r="M29" s="981">
        <v>0</v>
      </c>
      <c r="N29" s="981">
        <v>0</v>
      </c>
      <c r="O29" s="981">
        <v>0</v>
      </c>
      <c r="P29" s="955"/>
      <c r="R29" s="1"/>
      <c r="T29" s="19"/>
      <c r="U29" s="19"/>
      <c r="V29" s="19"/>
    </row>
    <row r="30" spans="1:22" s="246" customFormat="1" ht="14.4" x14ac:dyDescent="0.25">
      <c r="A30" s="237"/>
      <c r="B30" s="237"/>
      <c r="C30" s="955"/>
      <c r="D30" s="963"/>
      <c r="E30" s="963"/>
      <c r="F30" s="957" t="s">
        <v>997</v>
      </c>
      <c r="G30" s="963"/>
      <c r="H30" s="955"/>
      <c r="I30" s="1233">
        <v>0</v>
      </c>
      <c r="J30" s="1233">
        <v>0</v>
      </c>
      <c r="K30" s="1233">
        <v>0</v>
      </c>
      <c r="L30" s="955"/>
      <c r="M30" s="1233">
        <v>0</v>
      </c>
      <c r="N30" s="1233">
        <v>0</v>
      </c>
      <c r="O30" s="1233">
        <v>0</v>
      </c>
      <c r="P30" s="955"/>
      <c r="R30" s="1"/>
      <c r="T30" s="19"/>
      <c r="U30" s="19"/>
      <c r="V30" s="19"/>
    </row>
    <row r="31" spans="1:22" s="246" customFormat="1" ht="14.4" x14ac:dyDescent="0.25">
      <c r="A31" s="237"/>
      <c r="B31" s="237"/>
      <c r="C31" s="955"/>
      <c r="D31" s="963"/>
      <c r="E31" s="963"/>
      <c r="F31" s="955"/>
      <c r="G31" s="963"/>
      <c r="H31" s="955"/>
      <c r="I31" s="955"/>
      <c r="J31" s="955"/>
      <c r="K31" s="955"/>
      <c r="L31" s="955"/>
      <c r="M31" s="955"/>
      <c r="N31" s="967"/>
      <c r="O31" s="970"/>
      <c r="P31" s="955"/>
      <c r="R31" s="1"/>
      <c r="T31" s="19"/>
      <c r="U31" s="19"/>
      <c r="V31" s="19"/>
    </row>
    <row r="32" spans="1:22" s="246" customFormat="1" ht="14.4" x14ac:dyDescent="0.25">
      <c r="A32" s="237"/>
      <c r="B32" s="237"/>
      <c r="C32" s="955"/>
      <c r="D32" s="963"/>
      <c r="E32" s="963"/>
      <c r="F32" s="957" t="s">
        <v>1706</v>
      </c>
      <c r="G32" s="963"/>
      <c r="H32" s="955"/>
      <c r="I32" s="1233">
        <v>0</v>
      </c>
      <c r="J32" s="1233">
        <v>0</v>
      </c>
      <c r="K32" s="1233">
        <v>0</v>
      </c>
      <c r="L32" s="955"/>
      <c r="M32" s="1233">
        <v>0</v>
      </c>
      <c r="N32" s="1233">
        <v>0</v>
      </c>
      <c r="O32" s="1233">
        <v>0</v>
      </c>
      <c r="P32" s="955"/>
      <c r="R32" s="301"/>
      <c r="T32" s="19"/>
      <c r="U32" s="19"/>
      <c r="V32" s="19"/>
    </row>
    <row r="33" spans="1:30" s="246" customFormat="1" ht="14.4" x14ac:dyDescent="0.25">
      <c r="A33" s="237"/>
      <c r="B33" s="237"/>
      <c r="C33" s="955"/>
      <c r="D33" s="963"/>
      <c r="E33" s="963"/>
      <c r="F33" s="957"/>
      <c r="G33" s="963"/>
      <c r="H33" s="955"/>
      <c r="I33" s="955"/>
      <c r="J33" s="955"/>
      <c r="K33" s="955"/>
      <c r="L33" s="955"/>
      <c r="M33" s="955"/>
      <c r="N33" s="967"/>
      <c r="O33" s="970"/>
      <c r="P33" s="955"/>
      <c r="R33" s="301"/>
      <c r="T33" s="19"/>
      <c r="U33" s="19"/>
      <c r="V33" s="19"/>
    </row>
    <row r="34" spans="1:30" s="246" customFormat="1" ht="14.4" x14ac:dyDescent="0.25">
      <c r="A34" s="237"/>
      <c r="B34" s="237"/>
      <c r="C34" s="955"/>
      <c r="D34" s="963"/>
      <c r="E34" s="963"/>
      <c r="F34" s="957" t="s">
        <v>1707</v>
      </c>
      <c r="G34" s="963"/>
      <c r="H34" s="955"/>
      <c r="I34" s="981">
        <v>0</v>
      </c>
      <c r="J34" s="981">
        <v>0</v>
      </c>
      <c r="K34" s="981">
        <v>0</v>
      </c>
      <c r="L34" s="955"/>
      <c r="M34" s="981">
        <v>0</v>
      </c>
      <c r="N34" s="981">
        <v>0</v>
      </c>
      <c r="O34" s="981">
        <v>0</v>
      </c>
      <c r="P34" s="955"/>
      <c r="R34" s="1"/>
      <c r="T34" s="19"/>
      <c r="U34" s="19"/>
      <c r="V34" s="19"/>
    </row>
    <row r="35" spans="1:30" s="246" customFormat="1" ht="14.4" x14ac:dyDescent="0.25">
      <c r="A35" s="237"/>
      <c r="B35" s="237"/>
      <c r="C35" s="955"/>
      <c r="D35" s="963"/>
      <c r="E35" s="963"/>
      <c r="F35" s="957"/>
      <c r="G35" s="963"/>
      <c r="H35" s="955"/>
      <c r="I35" s="955"/>
      <c r="J35" s="955"/>
      <c r="K35" s="955"/>
      <c r="L35" s="955"/>
      <c r="M35" s="955"/>
      <c r="N35" s="967"/>
      <c r="O35" s="970"/>
      <c r="P35" s="955"/>
      <c r="R35" s="1"/>
      <c r="T35" s="19"/>
      <c r="U35" s="19"/>
      <c r="V35" s="19"/>
    </row>
    <row r="36" spans="1:30" s="11" customFormat="1" ht="14.25" customHeight="1" x14ac:dyDescent="0.25">
      <c r="A36" s="715"/>
      <c r="B36" s="715"/>
      <c r="C36" s="1023"/>
      <c r="D36" s="1083"/>
      <c r="E36" s="1083"/>
      <c r="F36" s="957" t="s">
        <v>1031</v>
      </c>
      <c r="G36" s="963"/>
      <c r="H36" s="955"/>
      <c r="I36" s="984">
        <v>0</v>
      </c>
      <c r="J36" s="984">
        <v>0</v>
      </c>
      <c r="K36" s="984">
        <v>0</v>
      </c>
      <c r="L36" s="957"/>
      <c r="M36" s="984">
        <v>0</v>
      </c>
      <c r="N36" s="984">
        <v>0</v>
      </c>
      <c r="O36" s="984">
        <v>0</v>
      </c>
      <c r="P36" s="955"/>
      <c r="Q36" s="1"/>
      <c r="R36" s="1"/>
      <c r="S36" s="246"/>
      <c r="W36" s="1"/>
      <c r="X36" s="1"/>
      <c r="Y36" s="1"/>
      <c r="Z36" s="1"/>
      <c r="AA36" s="1"/>
      <c r="AB36" s="1"/>
      <c r="AC36" s="1"/>
      <c r="AD36" s="1"/>
    </row>
    <row r="37" spans="1:30" ht="14.4" x14ac:dyDescent="0.25">
      <c r="A37" s="237"/>
      <c r="B37" s="237"/>
      <c r="C37" s="955"/>
      <c r="D37" s="1073"/>
      <c r="E37" s="1073"/>
      <c r="F37" s="955"/>
      <c r="G37" s="963"/>
      <c r="H37" s="966"/>
      <c r="I37" s="966"/>
      <c r="J37" s="966"/>
      <c r="K37" s="966"/>
      <c r="L37" s="955"/>
      <c r="M37" s="955"/>
      <c r="N37" s="1119"/>
      <c r="O37" s="1119"/>
      <c r="P37" s="955"/>
      <c r="T37" s="1"/>
      <c r="U37" s="1"/>
      <c r="V37" s="1"/>
    </row>
    <row r="43" spans="1:30" x14ac:dyDescent="0.25">
      <c r="H43" s="727"/>
      <c r="I43" s="727"/>
      <c r="J43" s="727"/>
      <c r="K43" s="727"/>
    </row>
    <row r="44" spans="1:30" x14ac:dyDescent="0.25">
      <c r="H44" s="727"/>
      <c r="I44" s="727"/>
      <c r="J44" s="727"/>
      <c r="K44" s="727"/>
    </row>
    <row r="45" spans="1:30" x14ac:dyDescent="0.25">
      <c r="H45" s="727"/>
      <c r="I45" s="727"/>
      <c r="J45" s="727"/>
      <c r="K45" s="727"/>
    </row>
    <row r="46" spans="1:30" x14ac:dyDescent="0.25">
      <c r="H46" s="728"/>
      <c r="I46" s="728"/>
      <c r="J46" s="728"/>
      <c r="K46" s="728"/>
    </row>
    <row r="47" spans="1:30" x14ac:dyDescent="0.25">
      <c r="H47" s="728"/>
      <c r="I47" s="728"/>
      <c r="J47" s="728"/>
      <c r="K47" s="728"/>
    </row>
    <row r="50" spans="1:30" s="11" customFormat="1" ht="16.5" customHeight="1" x14ac:dyDescent="0.25">
      <c r="A50" s="1"/>
      <c r="B50" s="1"/>
      <c r="C50" s="1"/>
      <c r="D50" s="126"/>
      <c r="E50" s="126"/>
      <c r="F50" s="1"/>
      <c r="G50" s="126"/>
      <c r="H50" s="1"/>
      <c r="I50" s="1"/>
      <c r="J50" s="1"/>
      <c r="K50" s="1"/>
      <c r="L50" s="1"/>
      <c r="M50" s="1"/>
      <c r="N50" s="131"/>
      <c r="O50" s="131"/>
      <c r="P50" s="1"/>
      <c r="Q50" s="1"/>
      <c r="R50" s="107"/>
      <c r="S50" s="1"/>
      <c r="W50" s="1"/>
      <c r="X50" s="1"/>
      <c r="Y50" s="1"/>
      <c r="Z50" s="1"/>
      <c r="AA50" s="1"/>
      <c r="AB50" s="1"/>
      <c r="AC50" s="1"/>
      <c r="AD50" s="1"/>
    </row>
    <row r="51" spans="1:30" s="11" customFormat="1" ht="3" customHeight="1" x14ac:dyDescent="0.25">
      <c r="A51" s="1"/>
      <c r="B51" s="1"/>
      <c r="C51" s="1"/>
      <c r="D51" s="126"/>
      <c r="E51" s="126"/>
      <c r="F51" s="246"/>
      <c r="G51" s="525"/>
      <c r="H51" s="1"/>
      <c r="I51" s="1"/>
      <c r="J51" s="1"/>
      <c r="K51" s="1"/>
      <c r="L51" s="1"/>
      <c r="M51" s="1"/>
      <c r="N51" s="131"/>
      <c r="O51" s="131"/>
      <c r="P51" s="1"/>
      <c r="Q51" s="1"/>
      <c r="R51" s="1"/>
      <c r="S51" s="1"/>
      <c r="T51" s="1"/>
      <c r="U51" s="1"/>
      <c r="W51" s="1"/>
      <c r="X51" s="1"/>
      <c r="Y51" s="1"/>
      <c r="Z51" s="1"/>
      <c r="AA51" s="1"/>
      <c r="AB51" s="1"/>
      <c r="AC51" s="1"/>
      <c r="AD51" s="1"/>
    </row>
    <row r="52" spans="1:30" s="11" customFormat="1" ht="16.5" customHeight="1" x14ac:dyDescent="0.25">
      <c r="A52" s="1"/>
      <c r="B52" s="1"/>
      <c r="C52" s="1"/>
      <c r="D52" s="126"/>
      <c r="E52" s="126"/>
      <c r="F52" s="1"/>
      <c r="G52" s="126"/>
      <c r="H52" s="1"/>
      <c r="I52" s="1"/>
      <c r="J52" s="1"/>
      <c r="K52" s="1"/>
      <c r="L52" s="1"/>
      <c r="M52" s="1"/>
      <c r="N52" s="131"/>
      <c r="O52" s="131"/>
      <c r="P52" s="1"/>
      <c r="Q52" s="1"/>
      <c r="R52" s="1"/>
      <c r="S52" s="1"/>
      <c r="T52" s="1"/>
      <c r="U52" s="1"/>
      <c r="W52" s="1"/>
      <c r="X52" s="1"/>
      <c r="Y52" s="1"/>
      <c r="Z52" s="1"/>
      <c r="AA52" s="1"/>
      <c r="AB52" s="1"/>
      <c r="AC52" s="1"/>
      <c r="AD52" s="1"/>
    </row>
    <row r="53" spans="1:30" s="11" customFormat="1" ht="16.5" customHeight="1" x14ac:dyDescent="0.25">
      <c r="A53" s="1"/>
      <c r="B53" s="1"/>
      <c r="C53" s="1"/>
      <c r="D53" s="126"/>
      <c r="E53" s="126"/>
      <c r="F53" s="1"/>
      <c r="G53" s="126"/>
      <c r="H53" s="1"/>
      <c r="I53" s="1"/>
      <c r="J53" s="1"/>
      <c r="K53" s="1"/>
      <c r="L53" s="1"/>
      <c r="M53" s="1"/>
      <c r="N53" s="131"/>
      <c r="O53" s="131"/>
      <c r="P53" s="1"/>
      <c r="Q53" s="1"/>
      <c r="R53" s="1"/>
      <c r="S53" s="1"/>
      <c r="T53" s="1"/>
      <c r="U53" s="1"/>
      <c r="W53" s="1"/>
      <c r="X53" s="1"/>
      <c r="Y53" s="1"/>
      <c r="Z53" s="1"/>
      <c r="AA53" s="1"/>
      <c r="AB53" s="1"/>
      <c r="AC53" s="1"/>
      <c r="AD53" s="1"/>
    </row>
    <row r="54" spans="1:30" s="11" customFormat="1" ht="16.5" customHeight="1" x14ac:dyDescent="0.25">
      <c r="A54" s="1"/>
      <c r="B54" s="1"/>
      <c r="C54" s="1"/>
      <c r="D54" s="126"/>
      <c r="E54" s="126"/>
      <c r="F54" s="1"/>
      <c r="G54" s="126"/>
      <c r="H54" s="1"/>
      <c r="I54" s="1"/>
      <c r="J54" s="1"/>
      <c r="K54" s="1"/>
      <c r="L54" s="1"/>
      <c r="M54" s="1"/>
      <c r="N54" s="131"/>
      <c r="O54" s="131"/>
      <c r="P54" s="1"/>
      <c r="Q54" s="1"/>
      <c r="R54" s="1"/>
      <c r="S54" s="1"/>
      <c r="T54" s="1"/>
      <c r="U54" s="1"/>
      <c r="W54" s="1"/>
      <c r="X54" s="1"/>
      <c r="Y54" s="1"/>
      <c r="Z54" s="1"/>
      <c r="AA54" s="1"/>
      <c r="AB54" s="1"/>
      <c r="AC54" s="1"/>
      <c r="AD54" s="1"/>
    </row>
    <row r="55" spans="1:30" s="11" customFormat="1" ht="16.5" customHeight="1" x14ac:dyDescent="0.25">
      <c r="A55" s="1"/>
      <c r="B55" s="1"/>
      <c r="C55" s="1"/>
      <c r="D55" s="126"/>
      <c r="E55" s="126"/>
      <c r="F55" s="1"/>
      <c r="G55" s="126"/>
      <c r="H55" s="1"/>
      <c r="I55" s="1"/>
      <c r="J55" s="1"/>
      <c r="K55" s="1"/>
      <c r="L55" s="1"/>
      <c r="M55" s="1"/>
      <c r="N55" s="131"/>
      <c r="O55" s="131"/>
      <c r="P55" s="1"/>
      <c r="Q55" s="1"/>
      <c r="R55" s="1"/>
      <c r="S55" s="1"/>
      <c r="T55" s="1"/>
      <c r="U55" s="1"/>
      <c r="W55" s="1"/>
      <c r="X55" s="1"/>
      <c r="Y55" s="1"/>
      <c r="Z55" s="1"/>
      <c r="AA55" s="1"/>
      <c r="AB55" s="1"/>
      <c r="AC55" s="1"/>
      <c r="AD55" s="1"/>
    </row>
    <row r="56" spans="1:30" s="11" customFormat="1" ht="16.5" customHeight="1" x14ac:dyDescent="0.25">
      <c r="A56" s="1"/>
      <c r="B56" s="1"/>
      <c r="C56" s="1"/>
      <c r="D56" s="126"/>
      <c r="E56" s="126"/>
      <c r="F56" s="1"/>
      <c r="G56" s="126"/>
      <c r="H56" s="1"/>
      <c r="I56" s="1"/>
      <c r="J56" s="1"/>
      <c r="K56" s="1"/>
      <c r="L56" s="1"/>
      <c r="M56" s="1"/>
      <c r="N56" s="131"/>
      <c r="O56" s="131"/>
      <c r="P56" s="1"/>
      <c r="Q56" s="1"/>
      <c r="R56" s="1"/>
      <c r="S56" s="1"/>
      <c r="T56" s="1"/>
      <c r="U56" s="1"/>
      <c r="W56" s="1"/>
      <c r="X56" s="1"/>
      <c r="Y56" s="1"/>
      <c r="Z56" s="1"/>
      <c r="AA56" s="1"/>
      <c r="AB56" s="1"/>
      <c r="AC56" s="1"/>
      <c r="AD56" s="1"/>
    </row>
    <row r="57" spans="1:30" s="11" customFormat="1" ht="16.5" customHeight="1" x14ac:dyDescent="0.25">
      <c r="A57" s="1"/>
      <c r="B57" s="1"/>
      <c r="C57" s="1"/>
      <c r="D57" s="126"/>
      <c r="E57" s="126"/>
      <c r="F57" s="1"/>
      <c r="G57" s="126"/>
      <c r="H57" s="1"/>
      <c r="I57" s="1"/>
      <c r="J57" s="1"/>
      <c r="K57" s="1"/>
      <c r="L57" s="1"/>
      <c r="M57" s="1"/>
      <c r="N57" s="131"/>
      <c r="O57" s="131"/>
      <c r="P57" s="1"/>
      <c r="Q57" s="1"/>
      <c r="R57" s="1"/>
      <c r="S57" s="1"/>
      <c r="T57" s="1"/>
      <c r="U57" s="1"/>
      <c r="W57" s="1"/>
      <c r="X57" s="1"/>
      <c r="Y57" s="1"/>
      <c r="Z57" s="1"/>
      <c r="AA57" s="1"/>
      <c r="AB57" s="1"/>
      <c r="AC57" s="1"/>
      <c r="AD57" s="1"/>
    </row>
    <row r="58" spans="1:30" s="11" customFormat="1" ht="16.5" customHeight="1" x14ac:dyDescent="0.25">
      <c r="A58" s="1"/>
      <c r="B58" s="1"/>
      <c r="C58" s="1"/>
      <c r="D58" s="126"/>
      <c r="E58" s="126"/>
      <c r="F58" s="1"/>
      <c r="G58" s="126"/>
      <c r="H58" s="1"/>
      <c r="I58" s="1"/>
      <c r="J58" s="1"/>
      <c r="K58" s="1"/>
      <c r="L58" s="1"/>
      <c r="M58" s="1"/>
      <c r="N58" s="131"/>
      <c r="O58" s="131"/>
      <c r="P58" s="1"/>
      <c r="Q58" s="1"/>
      <c r="R58" s="1"/>
      <c r="S58" s="1"/>
      <c r="T58" s="1"/>
      <c r="U58" s="1"/>
      <c r="W58" s="1"/>
      <c r="X58" s="1"/>
      <c r="Y58" s="1"/>
      <c r="Z58" s="1"/>
      <c r="AA58" s="1"/>
      <c r="AB58" s="1"/>
      <c r="AC58" s="1"/>
      <c r="AD58" s="1"/>
    </row>
    <row r="59" spans="1:30" s="11" customFormat="1" ht="16.5" customHeight="1" x14ac:dyDescent="0.25">
      <c r="A59" s="1"/>
      <c r="B59" s="1"/>
      <c r="C59" s="1"/>
      <c r="D59" s="126"/>
      <c r="E59" s="126"/>
      <c r="F59" s="1"/>
      <c r="G59" s="1"/>
      <c r="H59" s="1"/>
      <c r="I59" s="1"/>
      <c r="J59" s="1"/>
      <c r="K59" s="1"/>
      <c r="L59" s="1"/>
      <c r="M59" s="1"/>
      <c r="N59" s="1"/>
      <c r="O59" s="131"/>
      <c r="P59" s="1"/>
      <c r="Q59" s="1"/>
      <c r="R59" s="1"/>
      <c r="S59" s="1"/>
      <c r="T59" s="1"/>
      <c r="U59" s="1"/>
      <c r="W59" s="1"/>
      <c r="X59" s="1"/>
      <c r="Y59" s="1"/>
      <c r="Z59" s="1"/>
      <c r="AA59" s="1"/>
      <c r="AB59" s="1"/>
      <c r="AC59" s="1"/>
      <c r="AD59" s="1"/>
    </row>
    <row r="60" spans="1:30" s="11" customFormat="1" ht="16.5" customHeight="1" x14ac:dyDescent="0.25">
      <c r="A60" s="1"/>
      <c r="B60" s="1"/>
      <c r="C60" s="1"/>
      <c r="D60" s="126"/>
      <c r="E60" s="126"/>
      <c r="F60" s="1"/>
      <c r="G60" s="1"/>
      <c r="H60" s="1"/>
      <c r="I60" s="1"/>
      <c r="J60" s="1"/>
      <c r="K60" s="1"/>
      <c r="L60" s="1"/>
      <c r="M60" s="1"/>
      <c r="N60" s="1"/>
      <c r="O60" s="131"/>
      <c r="P60" s="1"/>
      <c r="Q60" s="1"/>
      <c r="R60" s="1"/>
      <c r="S60" s="1"/>
      <c r="T60" s="1"/>
      <c r="U60" s="1"/>
      <c r="W60" s="1"/>
      <c r="X60" s="1"/>
      <c r="Y60" s="1"/>
      <c r="Z60" s="1"/>
      <c r="AA60" s="1"/>
      <c r="AB60" s="1"/>
      <c r="AC60" s="1"/>
      <c r="AD60" s="1"/>
    </row>
    <row r="61" spans="1:30" s="11" customFormat="1" ht="16.5" customHeight="1" x14ac:dyDescent="0.25">
      <c r="A61" s="1"/>
      <c r="B61" s="1"/>
      <c r="C61" s="1"/>
      <c r="D61" s="126"/>
      <c r="E61" s="126"/>
      <c r="F61" s="1"/>
      <c r="G61" s="1"/>
      <c r="H61" s="1"/>
      <c r="I61" s="1"/>
      <c r="J61" s="1"/>
      <c r="K61" s="1"/>
      <c r="L61" s="1"/>
      <c r="M61" s="1"/>
      <c r="N61" s="1"/>
      <c r="O61" s="131"/>
      <c r="P61" s="1"/>
      <c r="Q61" s="1"/>
      <c r="R61" s="1"/>
      <c r="S61" s="1"/>
      <c r="W61" s="1"/>
      <c r="X61" s="1"/>
      <c r="Y61" s="1"/>
      <c r="Z61" s="1"/>
      <c r="AA61" s="1"/>
      <c r="AB61" s="1"/>
      <c r="AC61" s="1"/>
      <c r="AD61" s="1"/>
    </row>
    <row r="62" spans="1:30" s="11" customFormat="1" ht="16.5" customHeight="1" x14ac:dyDescent="0.25">
      <c r="A62" s="1"/>
      <c r="B62" s="1"/>
      <c r="C62" s="1"/>
      <c r="D62" s="126"/>
      <c r="E62" s="126"/>
      <c r="F62" s="1"/>
      <c r="G62" s="1"/>
      <c r="H62" s="1"/>
      <c r="I62" s="1"/>
      <c r="J62" s="1"/>
      <c r="K62" s="1"/>
      <c r="L62" s="1"/>
      <c r="M62" s="1"/>
      <c r="N62" s="1"/>
      <c r="O62" s="131"/>
      <c r="P62" s="1"/>
      <c r="Q62" s="1"/>
      <c r="R62" s="1"/>
      <c r="S62" s="1"/>
      <c r="W62" s="1"/>
      <c r="X62" s="1"/>
      <c r="Y62" s="1"/>
      <c r="Z62" s="1"/>
      <c r="AA62" s="1"/>
      <c r="AB62" s="1"/>
      <c r="AC62" s="1"/>
      <c r="AD62" s="1"/>
    </row>
    <row r="63" spans="1:30" s="11" customFormat="1" ht="16.5" customHeight="1" x14ac:dyDescent="0.25">
      <c r="A63" s="1"/>
      <c r="B63" s="1"/>
      <c r="C63" s="1"/>
      <c r="D63" s="126"/>
      <c r="E63" s="126"/>
      <c r="F63" s="1"/>
      <c r="G63" s="1"/>
      <c r="H63" s="1"/>
      <c r="I63" s="1"/>
      <c r="J63" s="1"/>
      <c r="K63" s="1"/>
      <c r="L63" s="1"/>
      <c r="M63" s="1"/>
      <c r="N63" s="1"/>
      <c r="O63" s="131"/>
      <c r="P63" s="1"/>
      <c r="Q63" s="1"/>
      <c r="R63" s="1"/>
      <c r="S63" s="1"/>
      <c r="W63" s="1"/>
      <c r="X63" s="1"/>
      <c r="Y63" s="1"/>
      <c r="Z63" s="1"/>
      <c r="AA63" s="1"/>
      <c r="AB63" s="1"/>
      <c r="AC63" s="1"/>
      <c r="AD63" s="1"/>
    </row>
    <row r="64" spans="1:30" s="11" customFormat="1" ht="16.5" customHeight="1" x14ac:dyDescent="0.25">
      <c r="A64" s="1"/>
      <c r="B64" s="1"/>
      <c r="C64" s="1"/>
      <c r="D64" s="126"/>
      <c r="E64" s="126"/>
      <c r="F64" s="1"/>
      <c r="G64" s="205"/>
      <c r="H64" s="1"/>
      <c r="I64" s="1"/>
      <c r="J64" s="1"/>
      <c r="K64" s="1"/>
      <c r="L64" s="1"/>
      <c r="M64" s="1"/>
      <c r="N64" s="1"/>
      <c r="O64" s="131"/>
      <c r="P64" s="1"/>
      <c r="Q64" s="1"/>
      <c r="R64" s="1"/>
      <c r="S64" s="1"/>
      <c r="W64" s="1"/>
      <c r="X64" s="1"/>
      <c r="Y64" s="1"/>
      <c r="Z64" s="1"/>
      <c r="AA64" s="1"/>
      <c r="AB64" s="1"/>
      <c r="AC64" s="1"/>
      <c r="AD64" s="1"/>
    </row>
    <row r="65" spans="7:15" ht="16.5" customHeight="1" x14ac:dyDescent="0.25">
      <c r="G65" s="1"/>
      <c r="O65" s="131"/>
    </row>
    <row r="66" spans="7:15" ht="16.5" customHeight="1" x14ac:dyDescent="0.25">
      <c r="G66" s="1"/>
      <c r="O66" s="131"/>
    </row>
    <row r="67" spans="7:15" ht="16.5" customHeight="1" x14ac:dyDescent="0.25">
      <c r="G67" s="1"/>
      <c r="O67" s="131"/>
    </row>
    <row r="68" spans="7:15" ht="16.5" customHeight="1" x14ac:dyDescent="0.25">
      <c r="G68" s="1"/>
      <c r="O68" s="131"/>
    </row>
    <row r="69" spans="7:15" ht="16.5" customHeight="1" x14ac:dyDescent="0.25">
      <c r="G69" s="1"/>
      <c r="O69" s="131"/>
    </row>
    <row r="70" spans="7:15" ht="16.5" customHeight="1" x14ac:dyDescent="0.25">
      <c r="G70" s="1"/>
      <c r="O70" s="131"/>
    </row>
    <row r="71" spans="7:15" ht="16.5" customHeight="1" x14ac:dyDescent="0.25">
      <c r="G71" s="1"/>
      <c r="O71" s="131"/>
    </row>
    <row r="72" spans="7:15" ht="16.5" customHeight="1" x14ac:dyDescent="0.25">
      <c r="G72" s="1"/>
      <c r="O72" s="131"/>
    </row>
    <row r="73" spans="7:15" ht="16.5" customHeight="1" x14ac:dyDescent="0.25">
      <c r="G73" s="1"/>
      <c r="O73" s="131"/>
    </row>
    <row r="74" spans="7:15" ht="16.5" customHeight="1" x14ac:dyDescent="0.25">
      <c r="G74" s="1"/>
      <c r="O74" s="131"/>
    </row>
    <row r="75" spans="7:15" ht="16.5" customHeight="1" x14ac:dyDescent="0.25">
      <c r="G75" s="1"/>
      <c r="O75" s="131"/>
    </row>
    <row r="76" spans="7:15" ht="16.5" customHeight="1" x14ac:dyDescent="0.25">
      <c r="G76" s="1"/>
      <c r="O76" s="131"/>
    </row>
    <row r="77" spans="7:15" ht="16.5" customHeight="1" x14ac:dyDescent="0.25">
      <c r="N77" s="131"/>
      <c r="O77" s="131"/>
    </row>
    <row r="78" spans="7:15" ht="42.75" customHeight="1" x14ac:dyDescent="0.25">
      <c r="N78" s="131"/>
      <c r="O78" s="131"/>
    </row>
    <row r="79" spans="7:15" ht="16.5" customHeight="1" x14ac:dyDescent="0.25">
      <c r="N79" s="131"/>
      <c r="O79" s="131"/>
    </row>
    <row r="80" spans="7:15" ht="16.5" customHeight="1" x14ac:dyDescent="0.25">
      <c r="N80" s="131"/>
      <c r="O80" s="131"/>
    </row>
    <row r="81" spans="14:22" ht="16.5" customHeight="1" x14ac:dyDescent="0.25">
      <c r="N81" s="131"/>
      <c r="O81" s="131"/>
    </row>
    <row r="82" spans="14:22" ht="16.5" customHeight="1" x14ac:dyDescent="0.25">
      <c r="N82" s="131"/>
      <c r="O82" s="131"/>
    </row>
    <row r="83" spans="14:22" ht="16.5" customHeight="1" x14ac:dyDescent="0.25">
      <c r="N83" s="131"/>
      <c r="O83" s="131"/>
    </row>
    <row r="84" spans="14:22" ht="16.5" customHeight="1" x14ac:dyDescent="0.25">
      <c r="N84" s="131"/>
      <c r="O84" s="131"/>
    </row>
    <row r="85" spans="14:22" ht="16.5" customHeight="1" x14ac:dyDescent="0.25">
      <c r="N85" s="131"/>
      <c r="O85" s="131"/>
    </row>
    <row r="86" spans="14:22" ht="16.5" customHeight="1" x14ac:dyDescent="0.25">
      <c r="N86" s="131"/>
      <c r="O86" s="131"/>
    </row>
    <row r="87" spans="14:22" ht="16.5" customHeight="1" x14ac:dyDescent="0.25">
      <c r="N87" s="131"/>
      <c r="O87" s="131"/>
    </row>
    <row r="88" spans="14:22" ht="16.5" customHeight="1" x14ac:dyDescent="0.25">
      <c r="N88" s="131"/>
      <c r="O88" s="131"/>
    </row>
    <row r="89" spans="14:22" ht="16.5" customHeight="1" x14ac:dyDescent="0.25">
      <c r="N89" s="131"/>
      <c r="O89" s="131"/>
    </row>
    <row r="90" spans="14:22" ht="16.5" customHeight="1" x14ac:dyDescent="0.25">
      <c r="N90" s="131"/>
      <c r="O90" s="131"/>
    </row>
    <row r="91" spans="14:22" ht="16.5" customHeight="1" x14ac:dyDescent="0.25">
      <c r="N91" s="131"/>
      <c r="O91" s="131"/>
      <c r="R91" s="107"/>
      <c r="S91" s="112"/>
      <c r="T91" s="108"/>
      <c r="U91" s="108"/>
      <c r="V91" s="108"/>
    </row>
    <row r="92" spans="14:22" ht="16.5" customHeight="1" x14ac:dyDescent="0.25">
      <c r="N92" s="131"/>
      <c r="O92" s="131"/>
      <c r="R92" s="107"/>
    </row>
    <row r="93" spans="14:22" ht="16.5" customHeight="1" x14ac:dyDescent="0.25">
      <c r="N93" s="131"/>
      <c r="O93" s="131"/>
      <c r="R93" s="107"/>
    </row>
    <row r="94" spans="14:22" ht="16.5" customHeight="1" x14ac:dyDescent="0.25">
      <c r="N94" s="131"/>
      <c r="O94" s="131"/>
      <c r="R94" s="107"/>
    </row>
    <row r="95" spans="14:22" ht="16.5" customHeight="1" x14ac:dyDescent="0.25">
      <c r="N95" s="131"/>
      <c r="O95" s="131"/>
      <c r="R95" s="107"/>
    </row>
    <row r="96" spans="14:22" ht="16.5" customHeight="1" x14ac:dyDescent="0.25">
      <c r="N96" s="131"/>
      <c r="O96" s="131"/>
      <c r="R96" s="107"/>
    </row>
    <row r="97" spans="14:22" ht="16.5" customHeight="1" x14ac:dyDescent="0.25">
      <c r="N97" s="131"/>
      <c r="O97" s="131"/>
      <c r="R97" s="107"/>
    </row>
    <row r="98" spans="14:22" ht="16.5" customHeight="1" x14ac:dyDescent="0.25">
      <c r="N98" s="131"/>
      <c r="O98" s="131"/>
      <c r="R98" s="107"/>
    </row>
    <row r="99" spans="14:22" ht="16.5" customHeight="1" x14ac:dyDescent="0.25">
      <c r="N99" s="131"/>
      <c r="O99" s="131"/>
      <c r="R99" s="107"/>
    </row>
    <row r="100" spans="14:22" ht="16.5" customHeight="1" x14ac:dyDescent="0.25">
      <c r="N100" s="131"/>
      <c r="O100" s="131"/>
      <c r="R100" s="107"/>
    </row>
    <row r="101" spans="14:22" ht="16.5" customHeight="1" x14ac:dyDescent="0.25">
      <c r="N101" s="131"/>
      <c r="O101" s="131"/>
      <c r="R101" s="107"/>
      <c r="S101" s="112"/>
      <c r="T101" s="109"/>
      <c r="U101" s="109"/>
      <c r="V101" s="109"/>
    </row>
    <row r="102" spans="14:22" ht="16.5" customHeight="1" x14ac:dyDescent="0.25">
      <c r="N102" s="131"/>
      <c r="O102" s="131"/>
      <c r="R102" s="107"/>
      <c r="S102" s="114"/>
      <c r="T102" s="108"/>
      <c r="U102" s="108"/>
      <c r="V102" s="108"/>
    </row>
    <row r="103" spans="14:22" ht="16.5" customHeight="1" x14ac:dyDescent="0.25">
      <c r="N103" s="131"/>
      <c r="O103" s="131"/>
    </row>
    <row r="104" spans="14:22" ht="16.5" customHeight="1" x14ac:dyDescent="0.25">
      <c r="N104" s="131"/>
      <c r="O104" s="131"/>
    </row>
    <row r="105" spans="14:22" ht="16.5" customHeight="1" x14ac:dyDescent="0.25">
      <c r="N105" s="131"/>
      <c r="O105" s="131"/>
    </row>
    <row r="106" spans="14:22" ht="16.5" customHeight="1" x14ac:dyDescent="0.25">
      <c r="N106" s="131"/>
      <c r="O106" s="131"/>
    </row>
    <row r="107" spans="14:22" ht="16.5" customHeight="1" x14ac:dyDescent="0.25">
      <c r="N107" s="131"/>
      <c r="O107" s="131"/>
    </row>
    <row r="108" spans="14:22" ht="16.5" customHeight="1" x14ac:dyDescent="0.25">
      <c r="N108" s="131"/>
      <c r="O108" s="131"/>
    </row>
    <row r="109" spans="14:22" ht="16.5" customHeight="1" x14ac:dyDescent="0.25">
      <c r="N109" s="131"/>
      <c r="O109" s="131"/>
    </row>
    <row r="110" spans="14:22" ht="16.5" customHeight="1" x14ac:dyDescent="0.25">
      <c r="N110" s="131"/>
      <c r="O110" s="131"/>
    </row>
    <row r="111" spans="14:22" ht="16.5" customHeight="1" x14ac:dyDescent="0.25">
      <c r="N111" s="131"/>
      <c r="O111" s="131"/>
    </row>
    <row r="112" spans="14:22" ht="16.5" customHeight="1" x14ac:dyDescent="0.25">
      <c r="N112" s="131"/>
      <c r="O112" s="131"/>
    </row>
    <row r="113" spans="14:15" ht="16.5" customHeight="1" x14ac:dyDescent="0.25">
      <c r="N113" s="131"/>
      <c r="O113" s="131"/>
    </row>
    <row r="114" spans="14:15" ht="16.5" customHeight="1" x14ac:dyDescent="0.25">
      <c r="N114" s="131"/>
      <c r="O114" s="131"/>
    </row>
    <row r="115" spans="14:15" ht="16.5" customHeight="1" x14ac:dyDescent="0.25">
      <c r="N115" s="131"/>
      <c r="O115" s="131"/>
    </row>
    <row r="116" spans="14:15" ht="16.5" customHeight="1" x14ac:dyDescent="0.25">
      <c r="N116" s="131"/>
      <c r="O116" s="131"/>
    </row>
    <row r="117" spans="14:15" ht="16.5" customHeight="1" x14ac:dyDescent="0.25">
      <c r="N117" s="131"/>
      <c r="O117" s="131"/>
    </row>
    <row r="118" spans="14:15" ht="16.5" customHeight="1" x14ac:dyDescent="0.25">
      <c r="N118" s="131"/>
      <c r="O118" s="131"/>
    </row>
    <row r="119" spans="14:15" ht="16.5" customHeight="1" x14ac:dyDescent="0.25">
      <c r="N119" s="131"/>
      <c r="O119" s="131"/>
    </row>
    <row r="120" spans="14:15" ht="16.5" customHeight="1" x14ac:dyDescent="0.25">
      <c r="N120" s="131"/>
      <c r="O120" s="131"/>
    </row>
    <row r="121" spans="14:15" ht="16.5" customHeight="1" x14ac:dyDescent="0.25">
      <c r="N121" s="131"/>
      <c r="O121" s="131"/>
    </row>
    <row r="122" spans="14:15" ht="16.5" customHeight="1" x14ac:dyDescent="0.25">
      <c r="N122" s="131"/>
      <c r="O122" s="131"/>
    </row>
    <row r="123" spans="14:15" ht="16.5" customHeight="1" x14ac:dyDescent="0.25">
      <c r="N123" s="131"/>
      <c r="O123" s="131"/>
    </row>
    <row r="124" spans="14:15" ht="16.5" customHeight="1" x14ac:dyDescent="0.25">
      <c r="N124" s="131"/>
      <c r="O124" s="131"/>
    </row>
    <row r="125" spans="14:15" ht="16.5" customHeight="1" x14ac:dyDescent="0.25">
      <c r="N125" s="131"/>
      <c r="O125" s="131"/>
    </row>
    <row r="126" spans="14:15" ht="16.5" customHeight="1" x14ac:dyDescent="0.25">
      <c r="N126" s="131"/>
      <c r="O126" s="131"/>
    </row>
    <row r="127" spans="14:15" ht="16.5" customHeight="1" x14ac:dyDescent="0.25">
      <c r="N127" s="131"/>
      <c r="O127" s="131"/>
    </row>
    <row r="128" spans="14:15" ht="16.5" customHeight="1" x14ac:dyDescent="0.25">
      <c r="N128" s="131"/>
      <c r="O128" s="131"/>
    </row>
    <row r="129" spans="14:15" ht="16.5" customHeight="1" x14ac:dyDescent="0.25">
      <c r="N129" s="131"/>
      <c r="O129" s="131"/>
    </row>
    <row r="130" spans="14:15" ht="16.5" customHeight="1" x14ac:dyDescent="0.25">
      <c r="N130" s="131"/>
      <c r="O130" s="131"/>
    </row>
    <row r="131" spans="14:15" ht="16.5" customHeight="1" x14ac:dyDescent="0.25">
      <c r="N131" s="131"/>
      <c r="O131" s="131"/>
    </row>
    <row r="132" spans="14:15" ht="16.5" customHeight="1" x14ac:dyDescent="0.25">
      <c r="N132" s="131"/>
      <c r="O132" s="131"/>
    </row>
    <row r="133" spans="14:15" ht="16.5" customHeight="1" x14ac:dyDescent="0.25">
      <c r="N133" s="131"/>
      <c r="O133" s="131"/>
    </row>
    <row r="134" spans="14:15" ht="16.5" customHeight="1" x14ac:dyDescent="0.25">
      <c r="N134" s="131"/>
      <c r="O134" s="131"/>
    </row>
    <row r="135" spans="14:15" ht="16.5" customHeight="1" x14ac:dyDescent="0.25">
      <c r="N135" s="131"/>
      <c r="O135" s="131"/>
    </row>
    <row r="136" spans="14:15" ht="16.5" customHeight="1" x14ac:dyDescent="0.25">
      <c r="N136" s="131"/>
      <c r="O136" s="131"/>
    </row>
    <row r="137" spans="14:15" ht="16.5" customHeight="1" x14ac:dyDescent="0.25">
      <c r="N137" s="131"/>
      <c r="O137" s="131"/>
    </row>
    <row r="138" spans="14:15" ht="16.5" customHeight="1" x14ac:dyDescent="0.25">
      <c r="N138" s="131"/>
      <c r="O138" s="131"/>
    </row>
    <row r="139" spans="14:15" ht="16.5" customHeight="1" x14ac:dyDescent="0.25">
      <c r="N139" s="131"/>
      <c r="O139" s="131"/>
    </row>
    <row r="140" spans="14:15" ht="16.5" customHeight="1" x14ac:dyDescent="0.25">
      <c r="N140" s="131"/>
      <c r="O140" s="131"/>
    </row>
    <row r="141" spans="14:15" ht="16.5" customHeight="1" x14ac:dyDescent="0.25">
      <c r="N141" s="131"/>
      <c r="O141" s="131"/>
    </row>
    <row r="142" spans="14:15" ht="16.5" customHeight="1" x14ac:dyDescent="0.25">
      <c r="N142" s="131"/>
      <c r="O142" s="131"/>
    </row>
    <row r="143" spans="14:15" ht="16.5" customHeight="1" x14ac:dyDescent="0.25">
      <c r="N143" s="131"/>
      <c r="O143" s="131"/>
    </row>
    <row r="144" spans="14:15" ht="16.5" customHeight="1" x14ac:dyDescent="0.25">
      <c r="N144" s="131"/>
      <c r="O144" s="131"/>
    </row>
    <row r="145" spans="14:18" ht="16.5" customHeight="1" x14ac:dyDescent="0.25">
      <c r="N145" s="131"/>
      <c r="O145" s="131"/>
    </row>
    <row r="146" spans="14:18" ht="16.5" customHeight="1" x14ac:dyDescent="0.25">
      <c r="N146" s="131"/>
      <c r="O146" s="131"/>
    </row>
    <row r="147" spans="14:18" ht="16.5" customHeight="1" x14ac:dyDescent="0.25">
      <c r="N147" s="131"/>
      <c r="O147" s="131"/>
    </row>
    <row r="148" spans="14:18" ht="16.5" customHeight="1" x14ac:dyDescent="0.25">
      <c r="N148" s="131"/>
      <c r="O148" s="131"/>
    </row>
    <row r="149" spans="14:18" ht="16.5" customHeight="1" x14ac:dyDescent="0.25">
      <c r="N149" s="131"/>
      <c r="O149" s="131"/>
    </row>
    <row r="150" spans="14:18" ht="16.5" customHeight="1" x14ac:dyDescent="0.25">
      <c r="N150" s="131"/>
      <c r="O150" s="131"/>
    </row>
    <row r="151" spans="14:18" ht="11.25" customHeight="1" x14ac:dyDescent="0.25">
      <c r="N151" s="131"/>
      <c r="O151" s="131"/>
    </row>
    <row r="152" spans="14:18" ht="16.5" customHeight="1" x14ac:dyDescent="0.25">
      <c r="N152" s="131"/>
      <c r="O152" s="131"/>
    </row>
    <row r="153" spans="14:18" ht="16.5" customHeight="1" x14ac:dyDescent="0.25">
      <c r="N153" s="131"/>
      <c r="O153" s="131"/>
    </row>
    <row r="154" spans="14:18" ht="11.25" customHeight="1" x14ac:dyDescent="0.25">
      <c r="N154" s="131"/>
      <c r="O154" s="131"/>
      <c r="R154" s="101"/>
    </row>
    <row r="155" spans="14:18" ht="16.5" customHeight="1" x14ac:dyDescent="0.25">
      <c r="N155" s="131"/>
      <c r="O155" s="131"/>
    </row>
    <row r="156" spans="14:18" x14ac:dyDescent="0.25">
      <c r="N156" s="131"/>
      <c r="O156" s="131"/>
    </row>
    <row r="157" spans="14:18" ht="16.5" customHeight="1" x14ac:dyDescent="0.25">
      <c r="N157" s="131"/>
      <c r="O157" s="131"/>
    </row>
    <row r="158" spans="14:18" ht="16.5" customHeight="1" x14ac:dyDescent="0.25">
      <c r="N158" s="131"/>
      <c r="O158" s="131"/>
    </row>
    <row r="159" spans="14:18" ht="15.75" customHeight="1" x14ac:dyDescent="0.25">
      <c r="N159" s="131"/>
      <c r="O159" s="131"/>
    </row>
    <row r="160" spans="14:18" ht="9.75" customHeight="1" x14ac:dyDescent="0.25">
      <c r="N160" s="131"/>
      <c r="O160" s="131"/>
    </row>
    <row r="161" spans="14:15" ht="15.75" customHeight="1" x14ac:dyDescent="0.25">
      <c r="N161" s="131"/>
      <c r="O161" s="131"/>
    </row>
    <row r="162" spans="14:15" ht="15.75" customHeight="1" x14ac:dyDescent="0.25">
      <c r="N162" s="131"/>
      <c r="O162" s="131"/>
    </row>
    <row r="163" spans="14:15" ht="15.75" customHeight="1" x14ac:dyDescent="0.25">
      <c r="N163" s="131"/>
      <c r="O163" s="131"/>
    </row>
    <row r="164" spans="14:15" ht="15.75" customHeight="1" x14ac:dyDescent="0.25">
      <c r="N164" s="131"/>
      <c r="O164" s="131"/>
    </row>
    <row r="165" spans="14:15" ht="15.75" customHeight="1" x14ac:dyDescent="0.25">
      <c r="N165" s="131"/>
      <c r="O165" s="131"/>
    </row>
    <row r="166" spans="14:15" ht="30.75" customHeight="1" x14ac:dyDescent="0.25">
      <c r="N166" s="131"/>
      <c r="O166" s="131"/>
    </row>
    <row r="167" spans="14:15" ht="12" customHeight="1" x14ac:dyDescent="0.25">
      <c r="N167" s="131"/>
      <c r="O167" s="131"/>
    </row>
    <row r="168" spans="14:15" ht="15.75" customHeight="1" x14ac:dyDescent="0.25">
      <c r="N168" s="131"/>
      <c r="O168" s="131"/>
    </row>
    <row r="169" spans="14:15" ht="11.25" customHeight="1" x14ac:dyDescent="0.25">
      <c r="N169" s="131"/>
      <c r="O169" s="131"/>
    </row>
    <row r="170" spans="14:15" ht="15.75" customHeight="1" x14ac:dyDescent="0.25">
      <c r="N170" s="131"/>
      <c r="O170" s="131"/>
    </row>
    <row r="171" spans="14:15" ht="15.75" customHeight="1" x14ac:dyDescent="0.25">
      <c r="N171" s="131"/>
      <c r="O171" s="131"/>
    </row>
    <row r="172" spans="14:15" ht="15.75" customHeight="1" x14ac:dyDescent="0.25">
      <c r="N172" s="131"/>
      <c r="O172" s="131"/>
    </row>
    <row r="173" spans="14:15" ht="15.75" customHeight="1" x14ac:dyDescent="0.25">
      <c r="N173" s="131"/>
      <c r="O173" s="131"/>
    </row>
    <row r="174" spans="14:15" ht="15.75" customHeight="1" x14ac:dyDescent="0.25">
      <c r="N174" s="131"/>
      <c r="O174" s="131"/>
    </row>
    <row r="175" spans="14:15" ht="15.75" customHeight="1" x14ac:dyDescent="0.25">
      <c r="N175" s="131"/>
      <c r="O175" s="131"/>
    </row>
    <row r="176" spans="14:15" ht="15.75" customHeight="1" x14ac:dyDescent="0.25">
      <c r="N176" s="131"/>
      <c r="O176" s="131"/>
    </row>
    <row r="177" spans="14:15" ht="15.75" customHeight="1" x14ac:dyDescent="0.25">
      <c r="N177" s="131"/>
      <c r="O177" s="131"/>
    </row>
    <row r="178" spans="14:15" ht="15.75" customHeight="1" x14ac:dyDescent="0.25">
      <c r="N178" s="131"/>
      <c r="O178" s="131"/>
    </row>
    <row r="179" spans="14:15" ht="15.75" customHeight="1" x14ac:dyDescent="0.25">
      <c r="N179" s="131"/>
      <c r="O179" s="131"/>
    </row>
    <row r="180" spans="14:15" ht="15.75" customHeight="1" x14ac:dyDescent="0.25">
      <c r="N180" s="131"/>
      <c r="O180" s="131"/>
    </row>
    <row r="181" spans="14:15" ht="15.75" customHeight="1" x14ac:dyDescent="0.25">
      <c r="N181" s="131"/>
      <c r="O181" s="131"/>
    </row>
    <row r="182" spans="14:15" ht="15.75" customHeight="1" x14ac:dyDescent="0.25">
      <c r="N182" s="131"/>
      <c r="O182" s="131"/>
    </row>
    <row r="183" spans="14:15" ht="15.75" customHeight="1" x14ac:dyDescent="0.25">
      <c r="N183" s="131"/>
      <c r="O183" s="131"/>
    </row>
    <row r="184" spans="14:15" ht="15.75" customHeight="1" x14ac:dyDescent="0.25">
      <c r="N184" s="131"/>
      <c r="O184" s="131"/>
    </row>
    <row r="185" spans="14:15" ht="15.75" customHeight="1" x14ac:dyDescent="0.25">
      <c r="N185" s="131"/>
      <c r="O185" s="131"/>
    </row>
    <row r="186" spans="14:15" ht="15.75" customHeight="1" x14ac:dyDescent="0.25">
      <c r="N186" s="131"/>
      <c r="O186" s="131"/>
    </row>
    <row r="187" spans="14:15" ht="11.25" customHeight="1" x14ac:dyDescent="0.25">
      <c r="N187" s="131"/>
      <c r="O187" s="131"/>
    </row>
    <row r="188" spans="14:15" ht="15.75" customHeight="1" x14ac:dyDescent="0.25">
      <c r="N188" s="131"/>
      <c r="O188" s="131"/>
    </row>
    <row r="189" spans="14:15" ht="12" customHeight="1" x14ac:dyDescent="0.25">
      <c r="N189" s="131"/>
      <c r="O189" s="131"/>
    </row>
    <row r="190" spans="14:15" ht="15.75" customHeight="1" x14ac:dyDescent="0.25">
      <c r="N190" s="131"/>
      <c r="O190" s="131"/>
    </row>
    <row r="191" spans="14:15" ht="15.75" customHeight="1" x14ac:dyDescent="0.25">
      <c r="N191" s="131"/>
      <c r="O191" s="131"/>
    </row>
    <row r="192" spans="14:15" ht="11.25" customHeight="1" x14ac:dyDescent="0.25">
      <c r="N192" s="131"/>
      <c r="O192" s="131"/>
    </row>
    <row r="193" spans="14:15" ht="15.75" customHeight="1" x14ac:dyDescent="0.25">
      <c r="N193" s="131"/>
      <c r="O193" s="131"/>
    </row>
    <row r="194" spans="14:15" ht="15.75" customHeight="1" x14ac:dyDescent="0.25">
      <c r="N194" s="131"/>
      <c r="O194" s="131"/>
    </row>
    <row r="195" spans="14:15" ht="15.75" customHeight="1" x14ac:dyDescent="0.25">
      <c r="N195" s="131"/>
      <c r="O195" s="131"/>
    </row>
    <row r="196" spans="14:15" ht="15.75" customHeight="1" x14ac:dyDescent="0.25">
      <c r="N196" s="131"/>
      <c r="O196" s="131"/>
    </row>
    <row r="197" spans="14:15" ht="31.5" customHeight="1" x14ac:dyDescent="0.25">
      <c r="N197" s="131"/>
      <c r="O197" s="131"/>
    </row>
    <row r="198" spans="14:15" ht="13.5" customHeight="1" x14ac:dyDescent="0.25">
      <c r="N198" s="131"/>
      <c r="O198" s="131"/>
    </row>
    <row r="199" spans="14:15" ht="15.75" customHeight="1" x14ac:dyDescent="0.25">
      <c r="N199" s="131"/>
      <c r="O199" s="131"/>
    </row>
    <row r="200" spans="14:15" ht="15.75" customHeight="1" x14ac:dyDescent="0.25">
      <c r="N200" s="131"/>
      <c r="O200" s="131"/>
    </row>
    <row r="201" spans="14:15" ht="15.75" customHeight="1" x14ac:dyDescent="0.25">
      <c r="N201" s="131"/>
      <c r="O201" s="131"/>
    </row>
    <row r="202" spans="14:15" ht="15" customHeight="1" x14ac:dyDescent="0.25">
      <c r="N202" s="131"/>
      <c r="O202" s="131"/>
    </row>
    <row r="203" spans="14:15" ht="11.25" customHeight="1" x14ac:dyDescent="0.25">
      <c r="N203" s="131"/>
      <c r="O203" s="131"/>
    </row>
    <row r="204" spans="14:15" ht="15.75" customHeight="1" x14ac:dyDescent="0.25">
      <c r="N204" s="131"/>
      <c r="O204" s="131"/>
    </row>
    <row r="205" spans="14:15" ht="15.75" customHeight="1" x14ac:dyDescent="0.25">
      <c r="N205" s="131"/>
      <c r="O205" s="131"/>
    </row>
    <row r="206" spans="14:15" ht="15.75" customHeight="1" x14ac:dyDescent="0.25">
      <c r="N206" s="131"/>
      <c r="O206" s="131"/>
    </row>
    <row r="207" spans="14:15" ht="15.75" customHeight="1" x14ac:dyDescent="0.25">
      <c r="N207" s="131"/>
      <c r="O207" s="131"/>
    </row>
    <row r="208" spans="14:15" ht="15.75" customHeight="1" x14ac:dyDescent="0.25">
      <c r="N208" s="131"/>
      <c r="O208" s="131"/>
    </row>
    <row r="209" spans="14:15" ht="15.75" customHeight="1" x14ac:dyDescent="0.25">
      <c r="N209" s="131"/>
      <c r="O209" s="131"/>
    </row>
    <row r="210" spans="14:15" ht="11.25" customHeight="1" x14ac:dyDescent="0.25">
      <c r="N210" s="131"/>
      <c r="O210" s="131"/>
    </row>
    <row r="211" spans="14:15" ht="15.75" customHeight="1" x14ac:dyDescent="0.25">
      <c r="N211" s="131"/>
      <c r="O211" s="131"/>
    </row>
    <row r="212" spans="14:15" ht="12.75" customHeight="1" x14ac:dyDescent="0.25">
      <c r="N212" s="131"/>
      <c r="O212" s="131"/>
    </row>
    <row r="213" spans="14:15" ht="15.75" customHeight="1" x14ac:dyDescent="0.25">
      <c r="N213" s="131"/>
      <c r="O213" s="131"/>
    </row>
    <row r="214" spans="14:15" ht="12.75" customHeight="1" x14ac:dyDescent="0.25">
      <c r="N214" s="131"/>
      <c r="O214" s="131"/>
    </row>
    <row r="215" spans="14:15" ht="15.75" customHeight="1" x14ac:dyDescent="0.25">
      <c r="N215" s="131"/>
      <c r="O215" s="131"/>
    </row>
    <row r="216" spans="14:15" ht="12.75" customHeight="1" x14ac:dyDescent="0.25">
      <c r="N216" s="131"/>
      <c r="O216" s="131"/>
    </row>
    <row r="217" spans="14:15" ht="15.75" customHeight="1" x14ac:dyDescent="0.25">
      <c r="N217" s="131"/>
      <c r="O217" s="131"/>
    </row>
    <row r="218" spans="14:15" ht="15.75" customHeight="1" x14ac:dyDescent="0.25">
      <c r="N218" s="131"/>
      <c r="O218" s="131"/>
    </row>
    <row r="219" spans="14:15" ht="15.75" customHeight="1" x14ac:dyDescent="0.25">
      <c r="N219" s="131"/>
      <c r="O219" s="131"/>
    </row>
    <row r="220" spans="14:15" ht="15.75" customHeight="1" x14ac:dyDescent="0.25">
      <c r="N220" s="131"/>
      <c r="O220" s="131"/>
    </row>
    <row r="221" spans="14:15" ht="15.75" customHeight="1" x14ac:dyDescent="0.25">
      <c r="N221" s="131"/>
      <c r="O221" s="131"/>
    </row>
    <row r="222" spans="14:15" ht="15.75" customHeight="1" x14ac:dyDescent="0.25">
      <c r="N222" s="131"/>
      <c r="O222" s="131"/>
    </row>
    <row r="223" spans="14:15" ht="15.75" customHeight="1" x14ac:dyDescent="0.25">
      <c r="N223" s="131"/>
      <c r="O223" s="131"/>
    </row>
    <row r="224" spans="14:15" ht="15.75" customHeight="1" x14ac:dyDescent="0.25">
      <c r="N224" s="131"/>
      <c r="O224" s="131"/>
    </row>
    <row r="225" spans="1:30" s="11" customFormat="1" ht="15.75" customHeight="1" x14ac:dyDescent="0.25">
      <c r="A225" s="1"/>
      <c r="B225" s="1"/>
      <c r="C225" s="1"/>
      <c r="D225" s="126"/>
      <c r="E225" s="126"/>
      <c r="F225" s="1"/>
      <c r="G225" s="126"/>
      <c r="H225" s="1"/>
      <c r="I225" s="1"/>
      <c r="J225" s="1"/>
      <c r="K225" s="1"/>
      <c r="L225" s="1"/>
      <c r="M225" s="1"/>
      <c r="N225" s="131"/>
      <c r="O225" s="131"/>
      <c r="P225" s="1"/>
      <c r="Q225" s="1"/>
      <c r="R225" s="1"/>
      <c r="S225" s="1"/>
      <c r="W225" s="1"/>
      <c r="X225" s="1"/>
      <c r="Y225" s="1"/>
      <c r="Z225" s="1"/>
      <c r="AA225" s="1"/>
      <c r="AB225" s="1"/>
      <c r="AC225" s="1"/>
      <c r="AD225" s="1"/>
    </row>
    <row r="226" spans="1:30" s="11" customFormat="1" ht="15.75" customHeight="1" x14ac:dyDescent="0.25">
      <c r="A226" s="1"/>
      <c r="B226" s="1"/>
      <c r="C226" s="1"/>
      <c r="D226" s="126"/>
      <c r="E226" s="126"/>
      <c r="F226" s="1"/>
      <c r="G226" s="126"/>
      <c r="H226" s="1"/>
      <c r="I226" s="1"/>
      <c r="J226" s="1"/>
      <c r="K226" s="1"/>
      <c r="L226" s="1"/>
      <c r="M226" s="1"/>
      <c r="N226" s="131"/>
      <c r="O226" s="131"/>
      <c r="P226" s="1"/>
      <c r="Q226" s="1"/>
      <c r="R226" s="1"/>
      <c r="S226" s="1"/>
      <c r="W226" s="1"/>
      <c r="X226" s="1"/>
      <c r="Y226" s="1"/>
      <c r="Z226" s="1"/>
      <c r="AA226" s="1"/>
      <c r="AB226" s="1"/>
      <c r="AC226" s="1"/>
      <c r="AD226" s="1"/>
    </row>
    <row r="227" spans="1:30" s="11" customFormat="1" ht="8.25" customHeight="1" x14ac:dyDescent="0.25">
      <c r="A227" s="1"/>
      <c r="B227" s="1"/>
      <c r="C227" s="1"/>
      <c r="D227" s="126"/>
      <c r="E227" s="126"/>
      <c r="F227" s="1"/>
      <c r="G227" s="126"/>
      <c r="H227" s="1"/>
      <c r="I227" s="1"/>
      <c r="J227" s="1"/>
      <c r="K227" s="1"/>
      <c r="L227" s="1"/>
      <c r="M227" s="1"/>
      <c r="N227" s="131"/>
      <c r="O227" s="131"/>
      <c r="P227" s="1"/>
      <c r="Q227" s="1"/>
      <c r="R227" s="1"/>
      <c r="S227" s="1"/>
      <c r="W227" s="1"/>
      <c r="X227" s="1"/>
      <c r="Y227" s="1"/>
      <c r="Z227" s="1"/>
      <c r="AA227" s="1"/>
      <c r="AB227" s="1"/>
      <c r="AC227" s="1"/>
      <c r="AD227" s="1"/>
    </row>
    <row r="228" spans="1:30" s="11" customFormat="1" x14ac:dyDescent="0.25">
      <c r="A228" s="1"/>
      <c r="B228" s="1"/>
      <c r="C228" s="1"/>
      <c r="D228" s="126"/>
      <c r="E228" s="126"/>
      <c r="F228" s="1"/>
      <c r="G228" s="126"/>
      <c r="H228" s="1"/>
      <c r="I228" s="1"/>
      <c r="J228" s="1"/>
      <c r="K228" s="1"/>
      <c r="L228" s="1"/>
      <c r="M228" s="1"/>
      <c r="N228" s="131"/>
      <c r="O228" s="131"/>
      <c r="P228" s="1"/>
      <c r="Q228" s="1"/>
      <c r="R228" s="1"/>
      <c r="S228" s="1"/>
      <c r="W228" s="1"/>
      <c r="X228" s="1"/>
      <c r="Y228" s="1"/>
      <c r="Z228" s="1"/>
      <c r="AA228" s="1"/>
      <c r="AB228" s="1"/>
      <c r="AC228" s="1"/>
      <c r="AD228" s="1"/>
    </row>
    <row r="229" spans="1:30" s="11" customFormat="1" ht="14.4" x14ac:dyDescent="0.3">
      <c r="A229" s="1"/>
      <c r="B229" s="1"/>
      <c r="C229" s="1"/>
      <c r="D229" s="126"/>
      <c r="E229" s="126"/>
      <c r="F229" s="1"/>
      <c r="G229" s="126"/>
      <c r="H229" s="1"/>
      <c r="I229" s="1"/>
      <c r="J229" s="1"/>
      <c r="K229" s="1"/>
      <c r="L229" s="1"/>
      <c r="M229" s="1"/>
      <c r="N229" s="131"/>
      <c r="O229" s="131"/>
      <c r="P229" s="1"/>
      <c r="Q229" s="1"/>
      <c r="R229" s="1"/>
      <c r="S229" s="174"/>
      <c r="W229" s="1"/>
      <c r="X229" s="1"/>
      <c r="Y229" s="1"/>
      <c r="Z229" s="1"/>
      <c r="AA229" s="1"/>
      <c r="AB229" s="1"/>
      <c r="AC229" s="1"/>
      <c r="AD229" s="1"/>
    </row>
    <row r="230" spans="1:30" s="11" customFormat="1" x14ac:dyDescent="0.25">
      <c r="A230" s="1"/>
      <c r="B230" s="1"/>
      <c r="C230" s="1"/>
      <c r="D230" s="126"/>
      <c r="E230" s="126"/>
      <c r="F230" s="1"/>
      <c r="G230" s="126"/>
      <c r="H230" s="1"/>
      <c r="I230" s="1"/>
      <c r="J230" s="1"/>
      <c r="K230" s="1"/>
      <c r="L230" s="1"/>
      <c r="M230" s="1"/>
      <c r="N230" s="131"/>
      <c r="O230" s="131"/>
      <c r="P230" s="1"/>
      <c r="Q230" s="1"/>
      <c r="R230" s="1"/>
      <c r="S230" s="1"/>
      <c r="W230" s="1"/>
      <c r="X230" s="1"/>
      <c r="Y230" s="1"/>
      <c r="Z230" s="1"/>
      <c r="AA230" s="1"/>
      <c r="AB230" s="1"/>
      <c r="AC230" s="1"/>
      <c r="AD230" s="1"/>
    </row>
    <row r="231" spans="1:30" s="11" customFormat="1" x14ac:dyDescent="0.25">
      <c r="A231" s="1"/>
      <c r="B231" s="1"/>
      <c r="C231" s="1"/>
      <c r="D231" s="126"/>
      <c r="E231" s="126"/>
      <c r="F231" s="1"/>
      <c r="G231" s="126"/>
      <c r="H231" s="1"/>
      <c r="I231" s="1"/>
      <c r="J231" s="1"/>
      <c r="K231" s="1"/>
      <c r="L231" s="1"/>
      <c r="M231" s="1"/>
      <c r="N231" s="131"/>
      <c r="O231" s="131"/>
      <c r="P231" s="1"/>
      <c r="Q231" s="1"/>
      <c r="R231" s="1"/>
      <c r="S231" s="1"/>
      <c r="W231" s="1"/>
      <c r="X231" s="1"/>
      <c r="Y231" s="1"/>
      <c r="Z231" s="1"/>
      <c r="AA231" s="1"/>
      <c r="AB231" s="1"/>
      <c r="AC231" s="1"/>
      <c r="AD231" s="1"/>
    </row>
    <row r="232" spans="1:30" s="11" customFormat="1" x14ac:dyDescent="0.25">
      <c r="A232" s="1"/>
      <c r="B232" s="1"/>
      <c r="C232" s="1"/>
      <c r="D232" s="126"/>
      <c r="E232" s="126"/>
      <c r="F232" s="1"/>
      <c r="G232" s="126"/>
      <c r="H232" s="1"/>
      <c r="I232" s="1"/>
      <c r="J232" s="1"/>
      <c r="K232" s="1"/>
      <c r="L232" s="1"/>
      <c r="M232" s="1"/>
      <c r="N232" s="131"/>
      <c r="O232" s="131"/>
      <c r="P232" s="1"/>
      <c r="Q232" s="1"/>
      <c r="R232" s="1"/>
      <c r="S232" s="1"/>
      <c r="W232" s="1"/>
      <c r="X232" s="1"/>
      <c r="Y232" s="1"/>
      <c r="Z232" s="1"/>
      <c r="AA232" s="1"/>
      <c r="AB232" s="1"/>
      <c r="AC232" s="1"/>
      <c r="AD232" s="1"/>
    </row>
    <row r="233" spans="1:30" s="11" customFormat="1" x14ac:dyDescent="0.25">
      <c r="A233" s="1"/>
      <c r="B233" s="1"/>
      <c r="C233" s="1"/>
      <c r="D233" s="126"/>
      <c r="E233" s="126"/>
      <c r="F233" s="1"/>
      <c r="G233" s="126"/>
      <c r="H233" s="1"/>
      <c r="I233" s="1"/>
      <c r="J233" s="1"/>
      <c r="K233" s="1"/>
      <c r="L233" s="1"/>
      <c r="M233" s="1"/>
      <c r="N233" s="131"/>
      <c r="O233" s="131"/>
      <c r="P233" s="1"/>
      <c r="Q233" s="1"/>
      <c r="R233" s="1"/>
      <c r="S233" s="1"/>
      <c r="W233" s="1"/>
      <c r="X233" s="1"/>
      <c r="Y233" s="1"/>
      <c r="Z233" s="1"/>
      <c r="AA233" s="1"/>
      <c r="AB233" s="1"/>
      <c r="AC233" s="1"/>
      <c r="AD233" s="1"/>
    </row>
    <row r="234" spans="1:30" s="11" customFormat="1" x14ac:dyDescent="0.25">
      <c r="A234" s="1"/>
      <c r="B234" s="1"/>
      <c r="C234" s="1"/>
      <c r="D234" s="126"/>
      <c r="E234" s="126"/>
      <c r="F234" s="1"/>
      <c r="G234" s="126"/>
      <c r="H234" s="1"/>
      <c r="I234" s="1"/>
      <c r="J234" s="1"/>
      <c r="K234" s="1"/>
      <c r="L234" s="1"/>
      <c r="M234" s="1"/>
      <c r="N234" s="131"/>
      <c r="O234" s="131"/>
      <c r="P234" s="1"/>
      <c r="Q234" s="1"/>
      <c r="R234" s="1"/>
      <c r="S234" s="1"/>
      <c r="W234" s="1"/>
      <c r="X234" s="1"/>
      <c r="Y234" s="1"/>
      <c r="Z234" s="1"/>
      <c r="AA234" s="1"/>
      <c r="AB234" s="1"/>
      <c r="AC234" s="1"/>
      <c r="AD234" s="1"/>
    </row>
    <row r="235" spans="1:30" s="11" customFormat="1" x14ac:dyDescent="0.25">
      <c r="A235" s="1"/>
      <c r="B235" s="1"/>
      <c r="C235" s="1"/>
      <c r="D235" s="126"/>
      <c r="E235" s="126"/>
      <c r="F235" s="1"/>
      <c r="G235" s="126"/>
      <c r="H235" s="1"/>
      <c r="I235" s="1"/>
      <c r="J235" s="1"/>
      <c r="K235" s="1"/>
      <c r="L235" s="1"/>
      <c r="M235" s="1"/>
      <c r="N235" s="131"/>
      <c r="O235" s="131"/>
      <c r="P235" s="1"/>
      <c r="Q235" s="1"/>
      <c r="R235" s="1"/>
      <c r="S235" s="1"/>
      <c r="W235" s="1"/>
      <c r="X235" s="1"/>
      <c r="Y235" s="1"/>
      <c r="Z235" s="1"/>
      <c r="AA235" s="1"/>
      <c r="AB235" s="1"/>
      <c r="AC235" s="1"/>
      <c r="AD235" s="1"/>
    </row>
    <row r="236" spans="1:30" s="11" customFormat="1" x14ac:dyDescent="0.25">
      <c r="A236" s="1"/>
      <c r="B236" s="1"/>
      <c r="C236" s="1"/>
      <c r="D236" s="126"/>
      <c r="E236" s="126"/>
      <c r="F236" s="1"/>
      <c r="G236" s="126"/>
      <c r="H236" s="1"/>
      <c r="I236" s="1"/>
      <c r="J236" s="1"/>
      <c r="K236" s="1"/>
      <c r="L236" s="1"/>
      <c r="M236" s="1"/>
      <c r="N236" s="131"/>
      <c r="O236" s="131"/>
      <c r="P236" s="1"/>
      <c r="Q236" s="1"/>
      <c r="R236" s="1"/>
      <c r="S236" s="1"/>
      <c r="W236" s="1"/>
      <c r="X236" s="1"/>
      <c r="Y236" s="1"/>
      <c r="Z236" s="1"/>
      <c r="AA236" s="1"/>
      <c r="AB236" s="1"/>
      <c r="AC236" s="1"/>
      <c r="AD236" s="1"/>
    </row>
    <row r="237" spans="1:30" s="11" customFormat="1" x14ac:dyDescent="0.25">
      <c r="A237" s="1"/>
      <c r="B237" s="1"/>
      <c r="C237" s="1"/>
      <c r="D237" s="126"/>
      <c r="E237" s="126"/>
      <c r="F237" s="1"/>
      <c r="G237" s="126"/>
      <c r="H237" s="1"/>
      <c r="I237" s="1"/>
      <c r="J237" s="1"/>
      <c r="K237" s="1"/>
      <c r="L237" s="1"/>
      <c r="M237" s="1"/>
      <c r="N237" s="131"/>
      <c r="O237" s="131"/>
      <c r="P237" s="1"/>
      <c r="Q237" s="1"/>
      <c r="R237" s="1"/>
      <c r="S237" s="1"/>
      <c r="W237" s="1"/>
      <c r="X237" s="1"/>
      <c r="Y237" s="1"/>
      <c r="Z237" s="1"/>
      <c r="AA237" s="1"/>
      <c r="AB237" s="1"/>
      <c r="AC237" s="1"/>
      <c r="AD237" s="1"/>
    </row>
    <row r="238" spans="1:30" s="11" customFormat="1" x14ac:dyDescent="0.25">
      <c r="A238" s="1"/>
      <c r="B238" s="1"/>
      <c r="C238" s="1"/>
      <c r="D238" s="126"/>
      <c r="E238" s="126"/>
      <c r="F238" s="1"/>
      <c r="G238" s="126"/>
      <c r="H238" s="1"/>
      <c r="I238" s="1"/>
      <c r="J238" s="1"/>
      <c r="K238" s="1"/>
      <c r="L238" s="1"/>
      <c r="M238" s="1"/>
      <c r="N238" s="131"/>
      <c r="O238" s="131"/>
      <c r="P238" s="1"/>
      <c r="Q238" s="1"/>
      <c r="R238" s="1"/>
      <c r="S238" s="1"/>
      <c r="W238" s="1"/>
      <c r="X238" s="1"/>
      <c r="Y238" s="1"/>
      <c r="Z238" s="1"/>
      <c r="AA238" s="1"/>
      <c r="AB238" s="1"/>
      <c r="AC238" s="1"/>
      <c r="AD238" s="1"/>
    </row>
    <row r="239" spans="1:30" s="11" customFormat="1" x14ac:dyDescent="0.25">
      <c r="A239" s="1"/>
      <c r="B239" s="1"/>
      <c r="C239" s="1"/>
      <c r="D239" s="126"/>
      <c r="E239" s="126"/>
      <c r="F239" s="1"/>
      <c r="G239" s="126"/>
      <c r="H239" s="1"/>
      <c r="I239" s="1"/>
      <c r="J239" s="1"/>
      <c r="K239" s="1"/>
      <c r="L239" s="1"/>
      <c r="M239" s="1"/>
      <c r="N239" s="131"/>
      <c r="O239" s="131"/>
      <c r="P239" s="1"/>
      <c r="Q239" s="1"/>
      <c r="R239" s="1"/>
      <c r="S239" s="1"/>
      <c r="W239" s="1"/>
      <c r="X239" s="1"/>
      <c r="Y239" s="1"/>
      <c r="Z239" s="1"/>
      <c r="AA239" s="1"/>
      <c r="AB239" s="1"/>
      <c r="AC239" s="1"/>
      <c r="AD239" s="1"/>
    </row>
    <row r="240" spans="1:30" s="11" customFormat="1" x14ac:dyDescent="0.25">
      <c r="A240" s="1"/>
      <c r="B240" s="1"/>
      <c r="C240" s="1"/>
      <c r="D240" s="126"/>
      <c r="E240" s="126"/>
      <c r="F240" s="1"/>
      <c r="G240" s="126"/>
      <c r="H240" s="1"/>
      <c r="I240" s="1"/>
      <c r="J240" s="1"/>
      <c r="K240" s="1"/>
      <c r="L240" s="1"/>
      <c r="M240" s="1"/>
      <c r="N240" s="131"/>
      <c r="O240" s="131"/>
      <c r="P240" s="1"/>
      <c r="Q240" s="1"/>
      <c r="R240" s="1"/>
      <c r="S240" s="1"/>
      <c r="W240" s="1"/>
      <c r="X240" s="1"/>
      <c r="Y240" s="1"/>
      <c r="Z240" s="1"/>
      <c r="AA240" s="1"/>
      <c r="AB240" s="1"/>
      <c r="AC240" s="1"/>
      <c r="AD240" s="1"/>
    </row>
    <row r="241" spans="14:15" x14ac:dyDescent="0.25">
      <c r="N241" s="131"/>
      <c r="O241" s="131"/>
    </row>
    <row r="242" spans="14:15" x14ac:dyDescent="0.25">
      <c r="N242" s="131"/>
      <c r="O242" s="131"/>
    </row>
    <row r="243" spans="14:15" x14ac:dyDescent="0.25">
      <c r="N243" s="131"/>
      <c r="O243" s="131"/>
    </row>
    <row r="244" spans="14:15" x14ac:dyDescent="0.25">
      <c r="N244" s="131"/>
      <c r="O244" s="131"/>
    </row>
    <row r="245" spans="14:15" x14ac:dyDescent="0.25">
      <c r="N245" s="131"/>
      <c r="O245" s="131"/>
    </row>
    <row r="246" spans="14:15" x14ac:dyDescent="0.25">
      <c r="N246" s="131"/>
      <c r="O246" s="131"/>
    </row>
    <row r="247" spans="14:15" x14ac:dyDescent="0.25">
      <c r="N247" s="131"/>
      <c r="O247" s="131"/>
    </row>
    <row r="248" spans="14:15" x14ac:dyDescent="0.25">
      <c r="N248" s="131"/>
      <c r="O248" s="131"/>
    </row>
    <row r="249" spans="14:15" x14ac:dyDescent="0.25">
      <c r="N249" s="131"/>
      <c r="O249" s="131"/>
    </row>
    <row r="250" spans="14:15" x14ac:dyDescent="0.25">
      <c r="N250" s="131"/>
      <c r="O250" s="131"/>
    </row>
    <row r="251" spans="14:15" x14ac:dyDescent="0.25">
      <c r="N251" s="131"/>
      <c r="O251" s="131"/>
    </row>
    <row r="252" spans="14:15" x14ac:dyDescent="0.25">
      <c r="N252" s="131"/>
      <c r="O252" s="131"/>
    </row>
    <row r="253" spans="14:15" x14ac:dyDescent="0.25">
      <c r="N253" s="131"/>
      <c r="O253" s="131"/>
    </row>
    <row r="254" spans="14:15" x14ac:dyDescent="0.25">
      <c r="N254" s="131"/>
      <c r="O254" s="131"/>
    </row>
    <row r="255" spans="14:15" x14ac:dyDescent="0.25">
      <c r="N255" s="131"/>
      <c r="O255" s="131"/>
    </row>
    <row r="256" spans="14:15" x14ac:dyDescent="0.25">
      <c r="N256" s="131"/>
      <c r="O256" s="131"/>
    </row>
    <row r="257" spans="14:15" x14ac:dyDescent="0.25">
      <c r="N257" s="131"/>
      <c r="O257" s="131"/>
    </row>
    <row r="258" spans="14:15" x14ac:dyDescent="0.25">
      <c r="N258" s="131"/>
      <c r="O258" s="131"/>
    </row>
    <row r="259" spans="14:15" x14ac:dyDescent="0.25">
      <c r="N259" s="131"/>
      <c r="O259" s="131"/>
    </row>
    <row r="260" spans="14:15" x14ac:dyDescent="0.25">
      <c r="N260" s="131"/>
      <c r="O260" s="131"/>
    </row>
    <row r="261" spans="14:15" x14ac:dyDescent="0.25">
      <c r="N261" s="131"/>
      <c r="O261" s="131"/>
    </row>
    <row r="262" spans="14:15" x14ac:dyDescent="0.25">
      <c r="N262" s="131"/>
      <c r="O262" s="131"/>
    </row>
    <row r="263" spans="14:15" x14ac:dyDescent="0.25">
      <c r="N263" s="131"/>
      <c r="O263" s="131"/>
    </row>
    <row r="264" spans="14:15" x14ac:dyDescent="0.25">
      <c r="N264" s="131"/>
      <c r="O264" s="131"/>
    </row>
    <row r="265" spans="14:15" x14ac:dyDescent="0.25">
      <c r="N265" s="131"/>
      <c r="O265" s="131"/>
    </row>
    <row r="266" spans="14:15" x14ac:dyDescent="0.25">
      <c r="N266" s="131"/>
      <c r="O266" s="131"/>
    </row>
    <row r="267" spans="14:15" x14ac:dyDescent="0.25">
      <c r="N267" s="131"/>
      <c r="O267" s="131"/>
    </row>
    <row r="268" spans="14:15" x14ac:dyDescent="0.25">
      <c r="N268" s="131"/>
      <c r="O268" s="131"/>
    </row>
    <row r="269" spans="14:15" x14ac:dyDescent="0.25">
      <c r="N269" s="131"/>
      <c r="O269" s="131"/>
    </row>
    <row r="270" spans="14:15" x14ac:dyDescent="0.25">
      <c r="N270" s="131"/>
      <c r="O270" s="131"/>
    </row>
    <row r="271" spans="14:15" x14ac:dyDescent="0.25">
      <c r="N271" s="131"/>
      <c r="O271" s="131"/>
    </row>
    <row r="272" spans="14:15" x14ac:dyDescent="0.25">
      <c r="N272" s="131"/>
      <c r="O272" s="131"/>
    </row>
    <row r="273" spans="14:15" x14ac:dyDescent="0.25">
      <c r="N273" s="131"/>
      <c r="O273" s="131"/>
    </row>
    <row r="274" spans="14:15" x14ac:dyDescent="0.25">
      <c r="N274" s="131"/>
      <c r="O274" s="131"/>
    </row>
    <row r="275" spans="14:15" x14ac:dyDescent="0.25">
      <c r="N275" s="131"/>
      <c r="O275" s="131"/>
    </row>
    <row r="276" spans="14:15" x14ac:dyDescent="0.25">
      <c r="N276" s="131"/>
      <c r="O276" s="131"/>
    </row>
    <row r="277" spans="14:15" x14ac:dyDescent="0.25">
      <c r="N277" s="131"/>
      <c r="O277" s="131"/>
    </row>
    <row r="278" spans="14:15" x14ac:dyDescent="0.25">
      <c r="N278" s="131"/>
      <c r="O278" s="131"/>
    </row>
    <row r="279" spans="14:15" x14ac:dyDescent="0.25">
      <c r="N279" s="131"/>
      <c r="O279" s="131"/>
    </row>
    <row r="280" spans="14:15" x14ac:dyDescent="0.25">
      <c r="N280" s="131"/>
      <c r="O280" s="131"/>
    </row>
    <row r="281" spans="14:15" x14ac:dyDescent="0.25">
      <c r="N281" s="131"/>
      <c r="O281" s="131"/>
    </row>
    <row r="282" spans="14:15" x14ac:dyDescent="0.25">
      <c r="N282" s="131"/>
      <c r="O282" s="131"/>
    </row>
    <row r="283" spans="14:15" x14ac:dyDescent="0.25">
      <c r="N283" s="131"/>
      <c r="O283" s="131"/>
    </row>
    <row r="284" spans="14:15" x14ac:dyDescent="0.25">
      <c r="N284" s="131"/>
      <c r="O284" s="131"/>
    </row>
    <row r="285" spans="14:15" x14ac:dyDescent="0.25">
      <c r="N285" s="131"/>
      <c r="O285" s="131"/>
    </row>
    <row r="286" spans="14:15" x14ac:dyDescent="0.25">
      <c r="N286" s="131"/>
      <c r="O286" s="131"/>
    </row>
    <row r="287" spans="14:15" x14ac:dyDescent="0.25">
      <c r="N287" s="131"/>
      <c r="O287" s="131"/>
    </row>
    <row r="288" spans="14:15" x14ac:dyDescent="0.25">
      <c r="N288" s="131"/>
      <c r="O288" s="131"/>
    </row>
    <row r="289" spans="14:15" x14ac:dyDescent="0.25">
      <c r="N289" s="131"/>
      <c r="O289" s="131"/>
    </row>
    <row r="290" spans="14:15" x14ac:dyDescent="0.25">
      <c r="N290" s="131"/>
      <c r="O290" s="131"/>
    </row>
    <row r="291" spans="14:15" x14ac:dyDescent="0.25">
      <c r="N291" s="131"/>
      <c r="O291" s="131"/>
    </row>
    <row r="292" spans="14:15" x14ac:dyDescent="0.25">
      <c r="N292" s="131"/>
      <c r="O292" s="131"/>
    </row>
    <row r="293" spans="14:15" x14ac:dyDescent="0.25">
      <c r="N293" s="131"/>
      <c r="O293" s="131"/>
    </row>
    <row r="294" spans="14:15" x14ac:dyDescent="0.25">
      <c r="N294" s="131"/>
      <c r="O294" s="131"/>
    </row>
    <row r="295" spans="14:15" x14ac:dyDescent="0.25">
      <c r="N295" s="131"/>
      <c r="O295" s="131"/>
    </row>
    <row r="296" spans="14:15" x14ac:dyDescent="0.25">
      <c r="N296" s="131"/>
      <c r="O296" s="131"/>
    </row>
    <row r="297" spans="14:15" x14ac:dyDescent="0.25">
      <c r="N297" s="131"/>
      <c r="O297" s="131"/>
    </row>
    <row r="298" spans="14:15" x14ac:dyDescent="0.25">
      <c r="N298" s="131"/>
      <c r="O298" s="131"/>
    </row>
    <row r="299" spans="14:15" x14ac:dyDescent="0.25">
      <c r="N299" s="131"/>
      <c r="O299" s="131"/>
    </row>
    <row r="300" spans="14:15" x14ac:dyDescent="0.25">
      <c r="N300" s="131"/>
      <c r="O300" s="131"/>
    </row>
    <row r="301" spans="14:15" x14ac:dyDescent="0.25">
      <c r="N301" s="131"/>
      <c r="O301" s="131"/>
    </row>
    <row r="302" spans="14:15" x14ac:dyDescent="0.25">
      <c r="N302" s="131"/>
      <c r="O302" s="131"/>
    </row>
    <row r="303" spans="14:15" x14ac:dyDescent="0.25">
      <c r="N303" s="131"/>
      <c r="O303" s="131"/>
    </row>
    <row r="304" spans="14:15" x14ac:dyDescent="0.25">
      <c r="N304" s="131"/>
      <c r="O304" s="131"/>
    </row>
    <row r="305" spans="14:15" x14ac:dyDescent="0.25">
      <c r="N305" s="131"/>
      <c r="O305" s="131"/>
    </row>
    <row r="306" spans="14:15" x14ac:dyDescent="0.25">
      <c r="N306" s="131"/>
      <c r="O306" s="131"/>
    </row>
    <row r="307" spans="14:15" x14ac:dyDescent="0.25">
      <c r="N307" s="131"/>
      <c r="O307" s="131"/>
    </row>
    <row r="308" spans="14:15" x14ac:dyDescent="0.25">
      <c r="N308" s="131"/>
      <c r="O308" s="131"/>
    </row>
    <row r="309" spans="14:15" x14ac:dyDescent="0.25">
      <c r="N309" s="131"/>
      <c r="O309" s="131"/>
    </row>
    <row r="310" spans="14:15" x14ac:dyDescent="0.25">
      <c r="N310" s="131"/>
      <c r="O310" s="131"/>
    </row>
    <row r="311" spans="14:15" x14ac:dyDescent="0.25">
      <c r="N311" s="131"/>
      <c r="O311" s="131"/>
    </row>
    <row r="312" spans="14:15" x14ac:dyDescent="0.25">
      <c r="N312" s="131"/>
      <c r="O312" s="131"/>
    </row>
    <row r="313" spans="14:15" x14ac:dyDescent="0.25">
      <c r="N313" s="131"/>
      <c r="O313" s="131"/>
    </row>
    <row r="314" spans="14:15" x14ac:dyDescent="0.25">
      <c r="N314" s="131"/>
      <c r="O314" s="131"/>
    </row>
    <row r="315" spans="14:15" x14ac:dyDescent="0.25">
      <c r="N315" s="131"/>
      <c r="O315" s="131"/>
    </row>
    <row r="316" spans="14:15" x14ac:dyDescent="0.25">
      <c r="N316" s="131"/>
      <c r="O316" s="131"/>
    </row>
    <row r="317" spans="14:15" x14ac:dyDescent="0.25">
      <c r="N317" s="131"/>
      <c r="O317" s="131"/>
    </row>
    <row r="318" spans="14:15" x14ac:dyDescent="0.25">
      <c r="N318" s="131"/>
      <c r="O318" s="131"/>
    </row>
    <row r="319" spans="14:15" x14ac:dyDescent="0.25">
      <c r="N319" s="131"/>
      <c r="O319" s="131"/>
    </row>
    <row r="320" spans="14:15" x14ac:dyDescent="0.25">
      <c r="N320" s="131"/>
      <c r="O320" s="131"/>
    </row>
    <row r="321" spans="14:15" x14ac:dyDescent="0.25">
      <c r="N321" s="131"/>
      <c r="O321" s="131"/>
    </row>
    <row r="322" spans="14:15" x14ac:dyDescent="0.25">
      <c r="N322" s="131"/>
      <c r="O322" s="131"/>
    </row>
    <row r="323" spans="14:15" x14ac:dyDescent="0.25">
      <c r="N323" s="131"/>
      <c r="O323" s="131"/>
    </row>
    <row r="324" spans="14:15" x14ac:dyDescent="0.25">
      <c r="N324" s="131"/>
      <c r="O324" s="131"/>
    </row>
    <row r="325" spans="14:15" x14ac:dyDescent="0.25">
      <c r="N325" s="131"/>
      <c r="O325" s="131"/>
    </row>
    <row r="326" spans="14:15" x14ac:dyDescent="0.25">
      <c r="N326" s="131"/>
      <c r="O326" s="131"/>
    </row>
    <row r="327" spans="14:15" x14ac:dyDescent="0.25">
      <c r="N327" s="131"/>
      <c r="O327" s="131"/>
    </row>
    <row r="328" spans="14:15" x14ac:dyDescent="0.25">
      <c r="N328" s="131"/>
      <c r="O328" s="131"/>
    </row>
    <row r="329" spans="14:15" x14ac:dyDescent="0.25">
      <c r="N329" s="131"/>
      <c r="O329" s="131"/>
    </row>
    <row r="330" spans="14:15" x14ac:dyDescent="0.25">
      <c r="N330" s="131"/>
      <c r="O330" s="131"/>
    </row>
    <row r="331" spans="14:15" x14ac:dyDescent="0.25">
      <c r="N331" s="131"/>
      <c r="O331" s="131"/>
    </row>
    <row r="332" spans="14:15" x14ac:dyDescent="0.25">
      <c r="N332" s="131"/>
      <c r="O332" s="131"/>
    </row>
    <row r="333" spans="14:15" x14ac:dyDescent="0.25">
      <c r="N333" s="131"/>
      <c r="O333" s="131"/>
    </row>
    <row r="334" spans="14:15" x14ac:dyDescent="0.25">
      <c r="N334" s="131"/>
      <c r="O334" s="131"/>
    </row>
    <row r="335" spans="14:15" x14ac:dyDescent="0.25">
      <c r="N335" s="131"/>
      <c r="O335" s="131"/>
    </row>
    <row r="336" spans="14:15" x14ac:dyDescent="0.25">
      <c r="N336" s="131"/>
      <c r="O336" s="131"/>
    </row>
    <row r="337" spans="14:15" x14ac:dyDescent="0.25">
      <c r="N337" s="131"/>
      <c r="O337" s="131"/>
    </row>
    <row r="338" spans="14:15" x14ac:dyDescent="0.25">
      <c r="N338" s="131"/>
      <c r="O338" s="131"/>
    </row>
    <row r="339" spans="14:15" x14ac:dyDescent="0.25">
      <c r="N339" s="131"/>
      <c r="O339" s="131"/>
    </row>
    <row r="340" spans="14:15" x14ac:dyDescent="0.25">
      <c r="N340" s="131"/>
      <c r="O340" s="131"/>
    </row>
    <row r="341" spans="14:15" x14ac:dyDescent="0.25">
      <c r="N341" s="131"/>
      <c r="O341" s="131"/>
    </row>
    <row r="342" spans="14:15" x14ac:dyDescent="0.25">
      <c r="N342" s="131"/>
      <c r="O342" s="131"/>
    </row>
    <row r="343" spans="14:15" x14ac:dyDescent="0.25">
      <c r="N343" s="131"/>
      <c r="O343" s="131"/>
    </row>
    <row r="344" spans="14:15" x14ac:dyDescent="0.25">
      <c r="N344" s="131"/>
      <c r="O344" s="131"/>
    </row>
    <row r="345" spans="14:15" x14ac:dyDescent="0.25">
      <c r="N345" s="131"/>
      <c r="O345" s="131"/>
    </row>
    <row r="346" spans="14:15" x14ac:dyDescent="0.25">
      <c r="N346" s="131"/>
      <c r="O346" s="131"/>
    </row>
    <row r="347" spans="14:15" x14ac:dyDescent="0.25">
      <c r="N347" s="131"/>
      <c r="O347" s="131"/>
    </row>
    <row r="348" spans="14:15" x14ac:dyDescent="0.25">
      <c r="N348" s="131"/>
      <c r="O348" s="131"/>
    </row>
    <row r="349" spans="14:15" x14ac:dyDescent="0.25">
      <c r="N349" s="131"/>
      <c r="O349" s="131"/>
    </row>
    <row r="350" spans="14:15" x14ac:dyDescent="0.25">
      <c r="N350" s="131"/>
      <c r="O350" s="131"/>
    </row>
    <row r="351" spans="14:15" x14ac:dyDescent="0.25">
      <c r="N351" s="131"/>
      <c r="O351" s="131"/>
    </row>
    <row r="352" spans="14:15" x14ac:dyDescent="0.25">
      <c r="N352" s="131"/>
      <c r="O352" s="131"/>
    </row>
    <row r="353" spans="14:15" x14ac:dyDescent="0.25">
      <c r="N353" s="131"/>
      <c r="O353" s="131"/>
    </row>
    <row r="354" spans="14:15" x14ac:dyDescent="0.25">
      <c r="N354" s="131"/>
      <c r="O354" s="131"/>
    </row>
    <row r="355" spans="14:15" x14ac:dyDescent="0.25">
      <c r="N355" s="131"/>
      <c r="O355" s="131"/>
    </row>
    <row r="356" spans="14:15" x14ac:dyDescent="0.25">
      <c r="N356" s="131"/>
      <c r="O356" s="131"/>
    </row>
    <row r="357" spans="14:15" x14ac:dyDescent="0.25">
      <c r="N357" s="131"/>
      <c r="O357" s="131"/>
    </row>
    <row r="358" spans="14:15" x14ac:dyDescent="0.25">
      <c r="N358" s="131"/>
      <c r="O358" s="131"/>
    </row>
    <row r="359" spans="14:15" x14ac:dyDescent="0.25">
      <c r="N359" s="131"/>
      <c r="O359" s="131"/>
    </row>
    <row r="360" spans="14:15" x14ac:dyDescent="0.25">
      <c r="N360" s="131"/>
      <c r="O360" s="131"/>
    </row>
    <row r="361" spans="14:15" x14ac:dyDescent="0.25">
      <c r="N361" s="131"/>
      <c r="O361" s="131"/>
    </row>
    <row r="362" spans="14:15" x14ac:dyDescent="0.25">
      <c r="N362" s="131"/>
      <c r="O362" s="131"/>
    </row>
    <row r="363" spans="14:15" x14ac:dyDescent="0.25">
      <c r="N363" s="131"/>
      <c r="O363" s="131"/>
    </row>
    <row r="364" spans="14:15" x14ac:dyDescent="0.25">
      <c r="N364" s="131"/>
      <c r="O364" s="131"/>
    </row>
    <row r="365" spans="14:15" x14ac:dyDescent="0.25">
      <c r="N365" s="131"/>
      <c r="O365" s="131"/>
    </row>
    <row r="366" spans="14:15" x14ac:dyDescent="0.25">
      <c r="N366" s="131"/>
      <c r="O366" s="131"/>
    </row>
    <row r="367" spans="14:15" x14ac:dyDescent="0.25">
      <c r="N367" s="131"/>
      <c r="O367" s="131"/>
    </row>
    <row r="368" spans="14:15" x14ac:dyDescent="0.25">
      <c r="N368" s="131"/>
      <c r="O368" s="131"/>
    </row>
    <row r="369" spans="14:15" x14ac:dyDescent="0.25">
      <c r="N369" s="131"/>
      <c r="O369" s="131"/>
    </row>
    <row r="370" spans="14:15" x14ac:dyDescent="0.25">
      <c r="N370" s="131"/>
      <c r="O370" s="131"/>
    </row>
    <row r="371" spans="14:15" x14ac:dyDescent="0.25">
      <c r="N371" s="131"/>
      <c r="O371" s="131"/>
    </row>
    <row r="372" spans="14:15" x14ac:dyDescent="0.25">
      <c r="N372" s="131"/>
      <c r="O372" s="131"/>
    </row>
    <row r="373" spans="14:15" x14ac:dyDescent="0.25">
      <c r="N373" s="131"/>
      <c r="O373" s="131"/>
    </row>
    <row r="374" spans="14:15" x14ac:dyDescent="0.25">
      <c r="N374" s="131"/>
      <c r="O374" s="131"/>
    </row>
    <row r="375" spans="14:15" x14ac:dyDescent="0.25">
      <c r="N375" s="131"/>
      <c r="O375" s="131"/>
    </row>
    <row r="376" spans="14:15" x14ac:dyDescent="0.25">
      <c r="N376" s="131"/>
      <c r="O376" s="131"/>
    </row>
    <row r="377" spans="14:15" x14ac:dyDescent="0.25">
      <c r="N377" s="131"/>
      <c r="O377" s="131"/>
    </row>
    <row r="378" spans="14:15" x14ac:dyDescent="0.25">
      <c r="N378" s="131"/>
      <c r="O378" s="131"/>
    </row>
    <row r="379" spans="14:15" x14ac:dyDescent="0.25">
      <c r="N379" s="131"/>
      <c r="O379" s="131"/>
    </row>
    <row r="380" spans="14:15" x14ac:dyDescent="0.25">
      <c r="N380" s="131"/>
      <c r="O380" s="131"/>
    </row>
    <row r="381" spans="14:15" x14ac:dyDescent="0.25">
      <c r="N381" s="131"/>
      <c r="O381" s="131"/>
    </row>
    <row r="382" spans="14:15" x14ac:dyDescent="0.25">
      <c r="N382" s="131"/>
      <c r="O382" s="131"/>
    </row>
    <row r="383" spans="14:15" x14ac:dyDescent="0.25">
      <c r="N383" s="131"/>
      <c r="O383" s="131"/>
    </row>
    <row r="384" spans="14:15" x14ac:dyDescent="0.25">
      <c r="N384" s="131"/>
      <c r="O384" s="131"/>
    </row>
    <row r="385" spans="14:15" x14ac:dyDescent="0.25">
      <c r="N385" s="131"/>
      <c r="O385" s="131"/>
    </row>
    <row r="386" spans="14:15" x14ac:dyDescent="0.25">
      <c r="N386" s="131"/>
      <c r="O386" s="131"/>
    </row>
    <row r="387" spans="14:15" x14ac:dyDescent="0.25">
      <c r="N387" s="131"/>
      <c r="O387" s="131"/>
    </row>
    <row r="388" spans="14:15" x14ac:dyDescent="0.25">
      <c r="N388" s="131"/>
      <c r="O388" s="131"/>
    </row>
    <row r="389" spans="14:15" x14ac:dyDescent="0.25">
      <c r="N389" s="131"/>
      <c r="O389" s="131"/>
    </row>
    <row r="390" spans="14:15" x14ac:dyDescent="0.25">
      <c r="N390" s="131"/>
      <c r="O390" s="131"/>
    </row>
    <row r="391" spans="14:15" x14ac:dyDescent="0.25">
      <c r="N391" s="131"/>
      <c r="O391" s="131"/>
    </row>
    <row r="392" spans="14:15" x14ac:dyDescent="0.25">
      <c r="N392" s="131"/>
      <c r="O392" s="131"/>
    </row>
    <row r="393" spans="14:15" x14ac:dyDescent="0.25">
      <c r="N393" s="131"/>
      <c r="O393" s="131"/>
    </row>
    <row r="394" spans="14:15" x14ac:dyDescent="0.25">
      <c r="N394" s="131"/>
      <c r="O394" s="131"/>
    </row>
    <row r="395" spans="14:15" x14ac:dyDescent="0.25">
      <c r="N395" s="131"/>
      <c r="O395" s="131"/>
    </row>
    <row r="396" spans="14:15" x14ac:dyDescent="0.25">
      <c r="N396" s="131"/>
      <c r="O396" s="131"/>
    </row>
    <row r="397" spans="14:15" x14ac:dyDescent="0.25">
      <c r="N397" s="131"/>
      <c r="O397" s="131"/>
    </row>
    <row r="398" spans="14:15" x14ac:dyDescent="0.25">
      <c r="N398" s="131"/>
      <c r="O398" s="131"/>
    </row>
    <row r="399" spans="14:15" x14ac:dyDescent="0.25">
      <c r="N399" s="131"/>
      <c r="O399" s="131"/>
    </row>
    <row r="400" spans="14:15" x14ac:dyDescent="0.25">
      <c r="N400" s="131"/>
      <c r="O400" s="131"/>
    </row>
    <row r="401" spans="14:15" x14ac:dyDescent="0.25">
      <c r="N401" s="131"/>
      <c r="O401" s="131"/>
    </row>
    <row r="402" spans="14:15" x14ac:dyDescent="0.25">
      <c r="N402" s="131"/>
      <c r="O402" s="131"/>
    </row>
    <row r="403" spans="14:15" x14ac:dyDescent="0.25">
      <c r="N403" s="131"/>
      <c r="O403" s="131"/>
    </row>
    <row r="404" spans="14:15" x14ac:dyDescent="0.25">
      <c r="N404" s="131"/>
      <c r="O404" s="131"/>
    </row>
    <row r="405" spans="14:15" x14ac:dyDescent="0.25">
      <c r="N405" s="131"/>
      <c r="O405" s="131"/>
    </row>
    <row r="406" spans="14:15" x14ac:dyDescent="0.25">
      <c r="N406" s="131"/>
      <c r="O406" s="131"/>
    </row>
    <row r="407" spans="14:15" x14ac:dyDescent="0.25">
      <c r="N407" s="131"/>
      <c r="O407" s="131"/>
    </row>
    <row r="408" spans="14:15" x14ac:dyDescent="0.25">
      <c r="N408" s="131"/>
      <c r="O408" s="131"/>
    </row>
    <row r="409" spans="14:15" x14ac:dyDescent="0.25">
      <c r="N409" s="131"/>
      <c r="O409" s="131"/>
    </row>
    <row r="410" spans="14:15" x14ac:dyDescent="0.25">
      <c r="N410" s="131"/>
      <c r="O410" s="131"/>
    </row>
    <row r="411" spans="14:15" x14ac:dyDescent="0.25">
      <c r="N411" s="131"/>
      <c r="O411" s="131"/>
    </row>
    <row r="412" spans="14:15" x14ac:dyDescent="0.25">
      <c r="N412" s="131"/>
      <c r="O412" s="131"/>
    </row>
    <row r="413" spans="14:15" x14ac:dyDescent="0.25">
      <c r="N413" s="131"/>
      <c r="O413" s="131"/>
    </row>
    <row r="414" spans="14:15" x14ac:dyDescent="0.25">
      <c r="N414" s="131"/>
      <c r="O414" s="131"/>
    </row>
    <row r="415" spans="14:15" x14ac:dyDescent="0.25">
      <c r="N415" s="131"/>
      <c r="O415" s="131"/>
    </row>
    <row r="416" spans="14:15" x14ac:dyDescent="0.25">
      <c r="N416" s="131"/>
      <c r="O416" s="131"/>
    </row>
    <row r="417" spans="14:15" x14ac:dyDescent="0.25">
      <c r="N417" s="131"/>
      <c r="O417" s="131"/>
    </row>
    <row r="418" spans="14:15" x14ac:dyDescent="0.25">
      <c r="N418" s="131"/>
      <c r="O418" s="131"/>
    </row>
    <row r="419" spans="14:15" x14ac:dyDescent="0.25">
      <c r="N419" s="131"/>
      <c r="O419" s="131"/>
    </row>
    <row r="420" spans="14:15" x14ac:dyDescent="0.25">
      <c r="N420" s="131"/>
      <c r="O420" s="131"/>
    </row>
    <row r="421" spans="14:15" x14ac:dyDescent="0.25">
      <c r="N421" s="131"/>
      <c r="O421" s="131"/>
    </row>
    <row r="422" spans="14:15" x14ac:dyDescent="0.25">
      <c r="N422" s="131"/>
      <c r="O422" s="131"/>
    </row>
    <row r="423" spans="14:15" x14ac:dyDescent="0.25">
      <c r="N423" s="131"/>
      <c r="O423" s="131"/>
    </row>
    <row r="424" spans="14:15" x14ac:dyDescent="0.25">
      <c r="N424" s="131"/>
      <c r="O424" s="131"/>
    </row>
    <row r="425" spans="14:15" x14ac:dyDescent="0.25">
      <c r="N425" s="131"/>
      <c r="O425" s="131"/>
    </row>
    <row r="426" spans="14:15" x14ac:dyDescent="0.25">
      <c r="N426" s="131"/>
      <c r="O426" s="131"/>
    </row>
    <row r="427" spans="14:15" x14ac:dyDescent="0.25">
      <c r="N427" s="131"/>
      <c r="O427" s="131"/>
    </row>
    <row r="428" spans="14:15" x14ac:dyDescent="0.25">
      <c r="N428" s="131"/>
      <c r="O428" s="131"/>
    </row>
    <row r="429" spans="14:15" x14ac:dyDescent="0.25">
      <c r="N429" s="131"/>
      <c r="O429" s="131"/>
    </row>
    <row r="430" spans="14:15" x14ac:dyDescent="0.25">
      <c r="N430" s="131"/>
      <c r="O430" s="131"/>
    </row>
    <row r="431" spans="14:15" x14ac:dyDescent="0.25">
      <c r="N431" s="131"/>
      <c r="O431" s="131"/>
    </row>
    <row r="432" spans="14:15" x14ac:dyDescent="0.25">
      <c r="N432" s="131"/>
      <c r="O432" s="131"/>
    </row>
    <row r="433" spans="14:15" x14ac:dyDescent="0.25">
      <c r="N433" s="131"/>
      <c r="O433" s="131"/>
    </row>
    <row r="434" spans="14:15" x14ac:dyDescent="0.25">
      <c r="N434" s="131"/>
      <c r="O434" s="131"/>
    </row>
    <row r="435" spans="14:15" x14ac:dyDescent="0.25">
      <c r="N435" s="131"/>
      <c r="O435" s="131"/>
    </row>
    <row r="436" spans="14:15" x14ac:dyDescent="0.25">
      <c r="N436" s="131"/>
      <c r="O436" s="131"/>
    </row>
    <row r="437" spans="14:15" x14ac:dyDescent="0.25">
      <c r="N437" s="131"/>
      <c r="O437" s="131"/>
    </row>
    <row r="438" spans="14:15" x14ac:dyDescent="0.25">
      <c r="N438" s="131"/>
      <c r="O438" s="131"/>
    </row>
    <row r="439" spans="14:15" x14ac:dyDescent="0.25">
      <c r="N439" s="131"/>
      <c r="O439" s="131"/>
    </row>
    <row r="440" spans="14:15" x14ac:dyDescent="0.25">
      <c r="N440" s="131"/>
      <c r="O440" s="131"/>
    </row>
    <row r="441" spans="14:15" x14ac:dyDescent="0.25">
      <c r="N441" s="131"/>
      <c r="O441" s="131"/>
    </row>
    <row r="442" spans="14:15" x14ac:dyDescent="0.25">
      <c r="N442" s="131"/>
      <c r="O442" s="131"/>
    </row>
    <row r="443" spans="14:15" x14ac:dyDescent="0.25">
      <c r="N443" s="131"/>
      <c r="O443" s="131"/>
    </row>
    <row r="444" spans="14:15" x14ac:dyDescent="0.25">
      <c r="N444" s="131"/>
      <c r="O444" s="131"/>
    </row>
    <row r="445" spans="14:15" x14ac:dyDescent="0.25">
      <c r="N445" s="131"/>
      <c r="O445" s="131"/>
    </row>
    <row r="446" spans="14:15" x14ac:dyDescent="0.25">
      <c r="N446" s="131"/>
      <c r="O446" s="131"/>
    </row>
    <row r="447" spans="14:15" x14ac:dyDescent="0.25">
      <c r="N447" s="131"/>
      <c r="O447" s="131"/>
    </row>
    <row r="448" spans="14:15" x14ac:dyDescent="0.25">
      <c r="N448" s="131"/>
      <c r="O448" s="131"/>
    </row>
    <row r="449" spans="14:15" x14ac:dyDescent="0.25">
      <c r="N449" s="131"/>
      <c r="O449" s="131"/>
    </row>
    <row r="450" spans="14:15" x14ac:dyDescent="0.25">
      <c r="N450" s="131"/>
      <c r="O450" s="131"/>
    </row>
    <row r="451" spans="14:15" x14ac:dyDescent="0.25">
      <c r="N451" s="131"/>
      <c r="O451" s="131"/>
    </row>
    <row r="452" spans="14:15" x14ac:dyDescent="0.25">
      <c r="N452" s="131"/>
      <c r="O452" s="131"/>
    </row>
    <row r="453" spans="14:15" x14ac:dyDescent="0.25">
      <c r="N453" s="131"/>
      <c r="O453" s="131"/>
    </row>
    <row r="454" spans="14:15" x14ac:dyDescent="0.25">
      <c r="N454" s="131"/>
      <c r="O454" s="131"/>
    </row>
    <row r="455" spans="14:15" x14ac:dyDescent="0.25">
      <c r="N455" s="131"/>
      <c r="O455" s="131"/>
    </row>
    <row r="456" spans="14:15" x14ac:dyDescent="0.25">
      <c r="N456" s="131"/>
      <c r="O456" s="131"/>
    </row>
    <row r="457" spans="14:15" x14ac:dyDescent="0.25">
      <c r="N457" s="131"/>
      <c r="O457" s="131"/>
    </row>
    <row r="458" spans="14:15" x14ac:dyDescent="0.25">
      <c r="N458" s="131"/>
      <c r="O458" s="131"/>
    </row>
    <row r="459" spans="14:15" x14ac:dyDescent="0.25">
      <c r="N459" s="131"/>
      <c r="O459" s="131"/>
    </row>
    <row r="460" spans="14:15" x14ac:dyDescent="0.25">
      <c r="N460" s="131"/>
      <c r="O460" s="131"/>
    </row>
    <row r="461" spans="14:15" x14ac:dyDescent="0.25">
      <c r="N461" s="131"/>
      <c r="O461" s="131"/>
    </row>
    <row r="462" spans="14:15" x14ac:dyDescent="0.25">
      <c r="N462" s="131"/>
      <c r="O462" s="131"/>
    </row>
    <row r="463" spans="14:15" x14ac:dyDescent="0.25">
      <c r="N463" s="131"/>
      <c r="O463" s="131"/>
    </row>
    <row r="464" spans="14:15" x14ac:dyDescent="0.25">
      <c r="N464" s="131"/>
      <c r="O464" s="131"/>
    </row>
    <row r="465" spans="14:15" x14ac:dyDescent="0.25">
      <c r="N465" s="131"/>
      <c r="O465" s="131"/>
    </row>
    <row r="466" spans="14:15" x14ac:dyDescent="0.25">
      <c r="N466" s="131"/>
      <c r="O466" s="131"/>
    </row>
    <row r="467" spans="14:15" x14ac:dyDescent="0.25">
      <c r="N467" s="131"/>
      <c r="O467" s="131"/>
    </row>
    <row r="468" spans="14:15" x14ac:dyDescent="0.25">
      <c r="N468" s="131"/>
      <c r="O468" s="131"/>
    </row>
    <row r="469" spans="14:15" x14ac:dyDescent="0.25">
      <c r="N469" s="131"/>
      <c r="O469" s="131"/>
    </row>
    <row r="470" spans="14:15" x14ac:dyDescent="0.25">
      <c r="N470" s="131"/>
      <c r="O470" s="131"/>
    </row>
    <row r="471" spans="14:15" x14ac:dyDescent="0.25">
      <c r="N471" s="131"/>
      <c r="O471" s="131"/>
    </row>
    <row r="472" spans="14:15" x14ac:dyDescent="0.25">
      <c r="N472" s="131"/>
      <c r="O472" s="131"/>
    </row>
    <row r="473" spans="14:15" x14ac:dyDescent="0.25">
      <c r="N473" s="131"/>
      <c r="O473" s="131"/>
    </row>
    <row r="474" spans="14:15" x14ac:dyDescent="0.25">
      <c r="N474" s="131"/>
      <c r="O474" s="131"/>
    </row>
    <row r="475" spans="14:15" x14ac:dyDescent="0.25">
      <c r="N475" s="131"/>
      <c r="O475" s="131"/>
    </row>
    <row r="476" spans="14:15" x14ac:dyDescent="0.25">
      <c r="N476" s="131"/>
      <c r="O476" s="131"/>
    </row>
    <row r="477" spans="14:15" x14ac:dyDescent="0.25">
      <c r="N477" s="131"/>
      <c r="O477" s="131"/>
    </row>
    <row r="478" spans="14:15" x14ac:dyDescent="0.25">
      <c r="N478" s="131"/>
      <c r="O478" s="131"/>
    </row>
    <row r="479" spans="14:15" x14ac:dyDescent="0.25">
      <c r="N479" s="131"/>
      <c r="O479" s="131"/>
    </row>
    <row r="480" spans="14:15" x14ac:dyDescent="0.25">
      <c r="N480" s="131"/>
      <c r="O480" s="131"/>
    </row>
    <row r="481" spans="14:15" x14ac:dyDescent="0.25">
      <c r="N481" s="131"/>
      <c r="O481" s="131"/>
    </row>
    <row r="482" spans="14:15" x14ac:dyDescent="0.25">
      <c r="N482" s="131"/>
      <c r="O482" s="131"/>
    </row>
    <row r="483" spans="14:15" x14ac:dyDescent="0.25">
      <c r="N483" s="131"/>
      <c r="O483" s="131"/>
    </row>
    <row r="484" spans="14:15" x14ac:dyDescent="0.25">
      <c r="N484" s="131"/>
      <c r="O484" s="131"/>
    </row>
    <row r="485" spans="14:15" x14ac:dyDescent="0.25">
      <c r="N485" s="131"/>
      <c r="O485" s="131"/>
    </row>
    <row r="486" spans="14:15" x14ac:dyDescent="0.25">
      <c r="N486" s="131"/>
      <c r="O486" s="131"/>
    </row>
    <row r="487" spans="14:15" x14ac:dyDescent="0.25">
      <c r="N487" s="131"/>
      <c r="O487" s="131"/>
    </row>
    <row r="488" spans="14:15" x14ac:dyDescent="0.25">
      <c r="N488" s="131"/>
      <c r="O488" s="131"/>
    </row>
    <row r="489" spans="14:15" x14ac:dyDescent="0.25">
      <c r="N489" s="131"/>
      <c r="O489" s="131"/>
    </row>
    <row r="490" spans="14:15" x14ac:dyDescent="0.25">
      <c r="N490" s="131"/>
      <c r="O490" s="131"/>
    </row>
    <row r="491" spans="14:15" x14ac:dyDescent="0.25">
      <c r="N491" s="131"/>
      <c r="O491" s="131"/>
    </row>
    <row r="492" spans="14:15" x14ac:dyDescent="0.25">
      <c r="N492" s="131"/>
      <c r="O492" s="131"/>
    </row>
    <row r="493" spans="14:15" x14ac:dyDescent="0.25">
      <c r="N493" s="131"/>
      <c r="O493" s="131"/>
    </row>
    <row r="494" spans="14:15" x14ac:dyDescent="0.25">
      <c r="N494" s="131"/>
      <c r="O494" s="131"/>
    </row>
    <row r="495" spans="14:15" x14ac:dyDescent="0.25">
      <c r="N495" s="131"/>
      <c r="O495" s="131"/>
    </row>
    <row r="496" spans="14:15" x14ac:dyDescent="0.25">
      <c r="N496" s="131"/>
      <c r="O496" s="131"/>
    </row>
    <row r="497" spans="14:15" x14ac:dyDescent="0.25">
      <c r="N497" s="131"/>
      <c r="O497" s="131"/>
    </row>
    <row r="498" spans="14:15" x14ac:dyDescent="0.25">
      <c r="N498" s="131"/>
      <c r="O498" s="131"/>
    </row>
    <row r="499" spans="14:15" x14ac:dyDescent="0.25">
      <c r="N499" s="131"/>
      <c r="O499" s="131"/>
    </row>
    <row r="500" spans="14:15" x14ac:dyDescent="0.25">
      <c r="N500" s="131"/>
      <c r="O500" s="131"/>
    </row>
    <row r="501" spans="14:15" x14ac:dyDescent="0.25">
      <c r="N501" s="131"/>
      <c r="O501" s="131"/>
    </row>
    <row r="502" spans="14:15" x14ac:dyDescent="0.25">
      <c r="N502" s="131"/>
      <c r="O502" s="131"/>
    </row>
    <row r="503" spans="14:15" x14ac:dyDescent="0.25">
      <c r="N503" s="131"/>
      <c r="O503" s="131"/>
    </row>
    <row r="504" spans="14:15" x14ac:dyDescent="0.25">
      <c r="N504" s="131"/>
      <c r="O504" s="131"/>
    </row>
    <row r="505" spans="14:15" x14ac:dyDescent="0.25">
      <c r="N505" s="131"/>
      <c r="O505" s="131"/>
    </row>
    <row r="506" spans="14:15" x14ac:dyDescent="0.25">
      <c r="N506" s="131"/>
      <c r="O506" s="131"/>
    </row>
    <row r="507" spans="14:15" x14ac:dyDescent="0.25">
      <c r="N507" s="131"/>
      <c r="O507" s="131"/>
    </row>
    <row r="508" spans="14:15" x14ac:dyDescent="0.25">
      <c r="N508" s="131"/>
      <c r="O508" s="131"/>
    </row>
    <row r="509" spans="14:15" x14ac:dyDescent="0.25">
      <c r="N509" s="131"/>
      <c r="O509" s="131"/>
    </row>
    <row r="510" spans="14:15" x14ac:dyDescent="0.25">
      <c r="N510" s="131"/>
      <c r="O510" s="131"/>
    </row>
    <row r="511" spans="14:15" x14ac:dyDescent="0.25">
      <c r="N511" s="131"/>
      <c r="O511" s="131"/>
    </row>
    <row r="512" spans="14:15" x14ac:dyDescent="0.25">
      <c r="N512" s="131"/>
      <c r="O512" s="131"/>
    </row>
    <row r="513" spans="14:15" x14ac:dyDescent="0.25">
      <c r="N513" s="131"/>
      <c r="O513" s="131"/>
    </row>
    <row r="514" spans="14:15" x14ac:dyDescent="0.25">
      <c r="N514" s="131"/>
      <c r="O514" s="131"/>
    </row>
    <row r="515" spans="14:15" x14ac:dyDescent="0.25">
      <c r="N515" s="131"/>
      <c r="O515" s="131"/>
    </row>
    <row r="516" spans="14:15" x14ac:dyDescent="0.25">
      <c r="N516" s="131"/>
      <c r="O516" s="131"/>
    </row>
    <row r="517" spans="14:15" x14ac:dyDescent="0.25">
      <c r="N517" s="131"/>
      <c r="O517" s="131"/>
    </row>
    <row r="518" spans="14:15" x14ac:dyDescent="0.25">
      <c r="N518" s="131"/>
      <c r="O518" s="131"/>
    </row>
    <row r="519" spans="14:15" x14ac:dyDescent="0.25">
      <c r="N519" s="131"/>
      <c r="O519" s="131"/>
    </row>
    <row r="520" spans="14:15" x14ac:dyDescent="0.25">
      <c r="N520" s="131"/>
      <c r="O520" s="131"/>
    </row>
    <row r="521" spans="14:15" x14ac:dyDescent="0.25">
      <c r="N521" s="131"/>
      <c r="O521" s="131"/>
    </row>
    <row r="522" spans="14:15" x14ac:dyDescent="0.25">
      <c r="N522" s="131"/>
      <c r="O522" s="131"/>
    </row>
    <row r="523" spans="14:15" x14ac:dyDescent="0.25">
      <c r="N523" s="131"/>
      <c r="O523" s="131"/>
    </row>
    <row r="524" spans="14:15" x14ac:dyDescent="0.25">
      <c r="N524" s="131"/>
      <c r="O524" s="131"/>
    </row>
    <row r="525" spans="14:15" x14ac:dyDescent="0.25">
      <c r="N525" s="131"/>
      <c r="O525" s="131"/>
    </row>
    <row r="526" spans="14:15" x14ac:dyDescent="0.25">
      <c r="N526" s="131"/>
      <c r="O526" s="131"/>
    </row>
    <row r="527" spans="14:15" x14ac:dyDescent="0.25">
      <c r="N527" s="131"/>
      <c r="O527" s="131"/>
    </row>
    <row r="528" spans="14:15" x14ac:dyDescent="0.25">
      <c r="N528" s="131"/>
      <c r="O528" s="131"/>
    </row>
    <row r="529" spans="14:15" x14ac:dyDescent="0.25">
      <c r="N529" s="131"/>
      <c r="O529" s="131"/>
    </row>
    <row r="530" spans="14:15" x14ac:dyDescent="0.25">
      <c r="N530" s="131"/>
      <c r="O530" s="131"/>
    </row>
    <row r="531" spans="14:15" x14ac:dyDescent="0.25">
      <c r="N531" s="131"/>
      <c r="O531" s="131"/>
    </row>
    <row r="532" spans="14:15" x14ac:dyDescent="0.25">
      <c r="N532" s="131"/>
      <c r="O532" s="131"/>
    </row>
    <row r="533" spans="14:15" x14ac:dyDescent="0.25">
      <c r="N533" s="131"/>
      <c r="O533" s="131"/>
    </row>
    <row r="534" spans="14:15" x14ac:dyDescent="0.25">
      <c r="N534" s="131"/>
      <c r="O534" s="131"/>
    </row>
    <row r="535" spans="14:15" x14ac:dyDescent="0.25">
      <c r="N535" s="131"/>
      <c r="O535" s="131"/>
    </row>
    <row r="536" spans="14:15" x14ac:dyDescent="0.25">
      <c r="N536" s="131"/>
      <c r="O536" s="131"/>
    </row>
    <row r="537" spans="14:15" x14ac:dyDescent="0.25">
      <c r="N537" s="131"/>
      <c r="O537" s="131"/>
    </row>
    <row r="538" spans="14:15" x14ac:dyDescent="0.25">
      <c r="N538" s="131"/>
      <c r="O538" s="131"/>
    </row>
    <row r="539" spans="14:15" x14ac:dyDescent="0.25">
      <c r="N539" s="131"/>
      <c r="O539" s="131"/>
    </row>
    <row r="540" spans="14:15" x14ac:dyDescent="0.25">
      <c r="N540" s="131"/>
      <c r="O540" s="131"/>
    </row>
    <row r="541" spans="14:15" x14ac:dyDescent="0.25">
      <c r="N541" s="131"/>
      <c r="O541" s="131"/>
    </row>
    <row r="542" spans="14:15" x14ac:dyDescent="0.25">
      <c r="N542" s="131"/>
      <c r="O542" s="131"/>
    </row>
    <row r="543" spans="14:15" x14ac:dyDescent="0.25">
      <c r="N543" s="131"/>
      <c r="O543" s="131"/>
    </row>
    <row r="544" spans="14:15" x14ac:dyDescent="0.25">
      <c r="N544" s="131"/>
      <c r="O544" s="131"/>
    </row>
    <row r="545" spans="14:15" x14ac:dyDescent="0.25">
      <c r="N545" s="131"/>
      <c r="O545" s="131"/>
    </row>
    <row r="546" spans="14:15" x14ac:dyDescent="0.25">
      <c r="N546" s="131"/>
      <c r="O546" s="131"/>
    </row>
    <row r="547" spans="14:15" x14ac:dyDescent="0.25">
      <c r="N547" s="131"/>
      <c r="O547" s="131"/>
    </row>
    <row r="548" spans="14:15" x14ac:dyDescent="0.25">
      <c r="N548" s="131"/>
      <c r="O548" s="131"/>
    </row>
    <row r="549" spans="14:15" x14ac:dyDescent="0.25">
      <c r="N549" s="131"/>
      <c r="O549" s="131"/>
    </row>
    <row r="550" spans="14:15" x14ac:dyDescent="0.25">
      <c r="N550" s="131"/>
      <c r="O550" s="131"/>
    </row>
    <row r="551" spans="14:15" x14ac:dyDescent="0.25">
      <c r="N551" s="131"/>
      <c r="O551" s="131"/>
    </row>
    <row r="552" spans="14:15" x14ac:dyDescent="0.25">
      <c r="N552" s="131"/>
      <c r="O552" s="131"/>
    </row>
    <row r="553" spans="14:15" x14ac:dyDescent="0.25">
      <c r="N553" s="131"/>
      <c r="O553" s="131"/>
    </row>
    <row r="554" spans="14:15" x14ac:dyDescent="0.25">
      <c r="N554" s="131"/>
      <c r="O554" s="131"/>
    </row>
    <row r="555" spans="14:15" x14ac:dyDescent="0.25">
      <c r="N555" s="131"/>
      <c r="O555" s="131"/>
    </row>
    <row r="556" spans="14:15" x14ac:dyDescent="0.25">
      <c r="N556" s="131"/>
      <c r="O556" s="131"/>
    </row>
    <row r="557" spans="14:15" x14ac:dyDescent="0.25">
      <c r="N557" s="131"/>
      <c r="O557" s="131"/>
    </row>
    <row r="558" spans="14:15" x14ac:dyDescent="0.25">
      <c r="N558" s="131"/>
      <c r="O558" s="131"/>
    </row>
    <row r="559" spans="14:15" x14ac:dyDescent="0.25">
      <c r="N559" s="131"/>
      <c r="O559" s="131"/>
    </row>
    <row r="560" spans="14:15" x14ac:dyDescent="0.25">
      <c r="N560" s="131"/>
      <c r="O560" s="131"/>
    </row>
    <row r="561" spans="14:15" x14ac:dyDescent="0.25">
      <c r="N561" s="131"/>
      <c r="O561" s="131"/>
    </row>
    <row r="562" spans="14:15" x14ac:dyDescent="0.25">
      <c r="N562" s="131"/>
      <c r="O562" s="131"/>
    </row>
    <row r="563" spans="14:15" x14ac:dyDescent="0.25">
      <c r="N563" s="131"/>
      <c r="O563" s="131"/>
    </row>
    <row r="564" spans="14:15" x14ac:dyDescent="0.25">
      <c r="N564" s="131"/>
      <c r="O564" s="131"/>
    </row>
    <row r="565" spans="14:15" x14ac:dyDescent="0.25">
      <c r="N565" s="131"/>
      <c r="O565" s="131"/>
    </row>
    <row r="566" spans="14:15" x14ac:dyDescent="0.25">
      <c r="N566" s="131"/>
      <c r="O566" s="131"/>
    </row>
    <row r="567" spans="14:15" x14ac:dyDescent="0.25">
      <c r="N567" s="131"/>
      <c r="O567" s="131"/>
    </row>
    <row r="568" spans="14:15" x14ac:dyDescent="0.25">
      <c r="N568" s="131"/>
      <c r="O568" s="131"/>
    </row>
    <row r="569" spans="14:15" x14ac:dyDescent="0.25">
      <c r="N569" s="131"/>
      <c r="O569" s="131"/>
    </row>
    <row r="570" spans="14:15" x14ac:dyDescent="0.25">
      <c r="N570" s="131"/>
      <c r="O570" s="131"/>
    </row>
    <row r="571" spans="14:15" x14ac:dyDescent="0.25">
      <c r="N571" s="131"/>
      <c r="O571" s="131"/>
    </row>
    <row r="572" spans="14:15" x14ac:dyDescent="0.25">
      <c r="N572" s="131"/>
      <c r="O572" s="131"/>
    </row>
    <row r="573" spans="14:15" x14ac:dyDescent="0.25">
      <c r="N573" s="131"/>
      <c r="O573" s="131"/>
    </row>
    <row r="574" spans="14:15" x14ac:dyDescent="0.25">
      <c r="N574" s="131"/>
      <c r="O574" s="131"/>
    </row>
    <row r="575" spans="14:15" x14ac:dyDescent="0.25">
      <c r="N575" s="131"/>
      <c r="O575" s="131"/>
    </row>
    <row r="576" spans="14:15" x14ac:dyDescent="0.25">
      <c r="N576" s="131"/>
      <c r="O576" s="131"/>
    </row>
    <row r="577" spans="14:15" x14ac:dyDescent="0.25">
      <c r="N577" s="131"/>
      <c r="O577" s="131"/>
    </row>
    <row r="578" spans="14:15" x14ac:dyDescent="0.25">
      <c r="N578" s="131"/>
      <c r="O578" s="131"/>
    </row>
    <row r="579" spans="14:15" x14ac:dyDescent="0.25">
      <c r="N579" s="131"/>
      <c r="O579" s="131"/>
    </row>
    <row r="580" spans="14:15" x14ac:dyDescent="0.25">
      <c r="N580" s="131"/>
      <c r="O580" s="131"/>
    </row>
    <row r="581" spans="14:15" x14ac:dyDescent="0.25">
      <c r="N581" s="131"/>
      <c r="O581" s="131"/>
    </row>
    <row r="582" spans="14:15" x14ac:dyDescent="0.25">
      <c r="N582" s="131"/>
      <c r="O582" s="131"/>
    </row>
    <row r="583" spans="14:15" x14ac:dyDescent="0.25">
      <c r="N583" s="131"/>
      <c r="O583" s="131"/>
    </row>
    <row r="584" spans="14:15" x14ac:dyDescent="0.25">
      <c r="N584" s="131"/>
      <c r="O584" s="131"/>
    </row>
    <row r="585" spans="14:15" x14ac:dyDescent="0.25">
      <c r="N585" s="131"/>
      <c r="O585" s="131"/>
    </row>
    <row r="586" spans="14:15" x14ac:dyDescent="0.25">
      <c r="N586" s="131"/>
      <c r="O586" s="131"/>
    </row>
    <row r="587" spans="14:15" x14ac:dyDescent="0.25">
      <c r="N587" s="131"/>
      <c r="O587" s="131"/>
    </row>
    <row r="588" spans="14:15" x14ac:dyDescent="0.25">
      <c r="N588" s="131"/>
      <c r="O588" s="131"/>
    </row>
    <row r="589" spans="14:15" x14ac:dyDescent="0.25">
      <c r="N589" s="131"/>
      <c r="O589" s="131"/>
    </row>
    <row r="590" spans="14:15" x14ac:dyDescent="0.25">
      <c r="N590" s="131"/>
      <c r="O590" s="131"/>
    </row>
    <row r="591" spans="14:15" x14ac:dyDescent="0.25">
      <c r="N591" s="131"/>
      <c r="O591" s="131"/>
    </row>
    <row r="592" spans="14:15" x14ac:dyDescent="0.25">
      <c r="N592" s="131"/>
      <c r="O592" s="131"/>
    </row>
    <row r="593" spans="14:15" x14ac:dyDescent="0.25">
      <c r="N593" s="131"/>
      <c r="O593" s="131"/>
    </row>
    <row r="594" spans="14:15" x14ac:dyDescent="0.25">
      <c r="N594" s="131"/>
      <c r="O594" s="131"/>
    </row>
    <row r="595" spans="14:15" x14ac:dyDescent="0.25">
      <c r="N595" s="131"/>
      <c r="O595" s="131"/>
    </row>
    <row r="596" spans="14:15" x14ac:dyDescent="0.25">
      <c r="N596" s="131"/>
      <c r="O596" s="131"/>
    </row>
    <row r="597" spans="14:15" x14ac:dyDescent="0.25">
      <c r="N597" s="131"/>
      <c r="O597" s="131"/>
    </row>
    <row r="598" spans="14:15" x14ac:dyDescent="0.25">
      <c r="N598" s="131"/>
      <c r="O598" s="131"/>
    </row>
    <row r="599" spans="14:15" x14ac:dyDescent="0.25">
      <c r="N599" s="131"/>
      <c r="O599" s="131"/>
    </row>
    <row r="600" spans="14:15" x14ac:dyDescent="0.25">
      <c r="N600" s="131"/>
      <c r="O600" s="131"/>
    </row>
    <row r="601" spans="14:15" x14ac:dyDescent="0.25">
      <c r="N601" s="131"/>
      <c r="O601" s="131"/>
    </row>
    <row r="602" spans="14:15" x14ac:dyDescent="0.25">
      <c r="N602" s="131"/>
      <c r="O602" s="131"/>
    </row>
    <row r="603" spans="14:15" x14ac:dyDescent="0.25">
      <c r="N603" s="131"/>
      <c r="O603" s="131"/>
    </row>
    <row r="604" spans="14:15" x14ac:dyDescent="0.25">
      <c r="N604" s="131"/>
      <c r="O604" s="131"/>
    </row>
    <row r="605" spans="14:15" x14ac:dyDescent="0.25">
      <c r="N605" s="131"/>
      <c r="O605" s="131"/>
    </row>
    <row r="606" spans="14:15" x14ac:dyDescent="0.25">
      <c r="N606" s="131"/>
      <c r="O606" s="131"/>
    </row>
    <row r="607" spans="14:15" x14ac:dyDescent="0.25">
      <c r="N607" s="131"/>
      <c r="O607" s="131"/>
    </row>
    <row r="608" spans="14:15" x14ac:dyDescent="0.25">
      <c r="N608" s="131"/>
      <c r="O608" s="131"/>
    </row>
    <row r="609" spans="14:15" x14ac:dyDescent="0.25">
      <c r="N609" s="131"/>
      <c r="O609" s="131"/>
    </row>
    <row r="610" spans="14:15" x14ac:dyDescent="0.25">
      <c r="N610" s="131"/>
      <c r="O610" s="131"/>
    </row>
  </sheetData>
  <mergeCells count="6">
    <mergeCell ref="U4:Z5"/>
    <mergeCell ref="F5:O5"/>
    <mergeCell ref="H1:O1"/>
    <mergeCell ref="H2:O2"/>
    <mergeCell ref="F8:O8"/>
    <mergeCell ref="F7:O7"/>
  </mergeCells>
  <pageMargins left="0.31496062992125984" right="0.31496062992125984" top="0.35433070866141736" bottom="0.35433070866141736" header="0.11811023622047245" footer="0.11811023622047245"/>
  <pageSetup paperSize="9" orientation="portrait" r:id="rId1"/>
  <headerFooter>
    <oddFooter>&amp;R&amp;P</oddFooter>
  </headerFooter>
  <rowBreaks count="3" manualBreakCount="3">
    <brk id="51" max="12" man="1"/>
    <brk id="121" max="16383" man="1"/>
    <brk id="15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E346"/>
  <sheetViews>
    <sheetView showGridLines="0" view="pageBreakPreview" zoomScaleNormal="85" zoomScaleSheetLayoutView="100" workbookViewId="0">
      <pane ySplit="2" topLeftCell="A3" activePane="bottomLeft" state="frozen"/>
      <selection pane="bottomLeft"/>
    </sheetView>
  </sheetViews>
  <sheetFormatPr defaultColWidth="9" defaultRowHeight="14.4" x14ac:dyDescent="0.25"/>
  <cols>
    <col min="1" max="1" width="9.69921875" style="474" customWidth="1"/>
    <col min="2" max="2" width="7.59765625" style="474" customWidth="1"/>
    <col min="3" max="4" width="3.69921875" style="474" customWidth="1"/>
    <col min="5" max="5" width="17.59765625" style="474" customWidth="1"/>
    <col min="6" max="6" width="18.69921875" style="474" customWidth="1"/>
    <col min="7" max="7" width="8.69921875" style="474" customWidth="1"/>
    <col min="8" max="8" width="15.19921875" style="474" bestFit="1" customWidth="1"/>
    <col min="9" max="9" width="6.8984375" style="474" customWidth="1"/>
    <col min="10" max="10" width="8" style="474" bestFit="1" customWidth="1"/>
    <col min="11" max="11" width="7" style="474" bestFit="1" customWidth="1"/>
    <col min="12" max="12" width="8.59765625" style="474" customWidth="1"/>
    <col min="13" max="13" width="8.09765625" style="474" bestFit="1" customWidth="1"/>
    <col min="14" max="14" width="8.69921875" style="474" bestFit="1" customWidth="1"/>
    <col min="15" max="15" width="7" style="474" bestFit="1" customWidth="1"/>
    <col min="16" max="16" width="6.69921875" style="474" bestFit="1" customWidth="1"/>
    <col min="17" max="17" width="0.59765625" style="474" customWidth="1"/>
    <col min="18" max="18" width="12.5" style="474" customWidth="1"/>
    <col min="19" max="19" width="6.59765625" style="474" customWidth="1"/>
    <col min="20" max="20" width="9.69921875" style="474" customWidth="1"/>
    <col min="21" max="16384" width="9" style="474"/>
  </cols>
  <sheetData>
    <row r="1" spans="1:24" ht="16.5" customHeight="1" x14ac:dyDescent="0.25">
      <c r="A1" s="468" t="s">
        <v>206</v>
      </c>
      <c r="B1" s="468"/>
      <c r="C1" s="464" t="str">
        <f>IF('Merge Details_Printing instr'!$B$11="Insert details here",'Merge Details_Printing instr'!$A$11,'Merge Details_Printing instr'!$B$11)</f>
        <v>Council Name</v>
      </c>
      <c r="G1" s="2361" t="s">
        <v>303</v>
      </c>
      <c r="H1" s="2361"/>
      <c r="I1" s="2361"/>
      <c r="J1" s="2361"/>
      <c r="K1" s="2361"/>
      <c r="L1" s="2361"/>
      <c r="M1" s="479"/>
      <c r="N1" s="479"/>
      <c r="O1" s="479"/>
      <c r="P1" s="479"/>
      <c r="R1" s="2375" t="s">
        <v>1606</v>
      </c>
      <c r="S1" s="2375"/>
      <c r="T1" s="2375"/>
      <c r="U1" s="2375"/>
      <c r="V1" s="2375"/>
      <c r="W1" s="2375"/>
    </row>
    <row r="2" spans="1:24" s="457" customFormat="1" ht="16.5" customHeight="1" x14ac:dyDescent="0.25">
      <c r="A2" s="468" t="s">
        <v>696</v>
      </c>
      <c r="B2" s="468" t="s">
        <v>207</v>
      </c>
      <c r="C2" s="465" t="str">
        <f>'Merge Details_Printing instr'!A12</f>
        <v>2023-2024 Financial Report</v>
      </c>
      <c r="D2" s="480"/>
      <c r="E2" s="460"/>
      <c r="F2" s="460"/>
      <c r="G2" s="2362" t="str">
        <f>+'Merge Details_Printing instr'!A14</f>
        <v>For the Year Ended 30 June 2024</v>
      </c>
      <c r="H2" s="2362"/>
      <c r="I2" s="2362"/>
      <c r="J2" s="2362"/>
      <c r="K2" s="2362"/>
      <c r="L2" s="2362"/>
      <c r="M2" s="480"/>
      <c r="N2" s="480"/>
      <c r="O2" s="480"/>
      <c r="P2" s="480"/>
      <c r="Q2" s="460"/>
      <c r="R2" s="2375"/>
      <c r="S2" s="2375"/>
      <c r="T2" s="2375"/>
      <c r="U2" s="2375"/>
      <c r="V2" s="2375"/>
      <c r="W2" s="2375"/>
    </row>
    <row r="3" spans="1:24" x14ac:dyDescent="0.25">
      <c r="A3" s="467"/>
      <c r="B3" s="467"/>
      <c r="C3" s="1584" t="s">
        <v>286</v>
      </c>
      <c r="D3" s="1499">
        <v>10</v>
      </c>
      <c r="E3" s="1584" t="s">
        <v>1308</v>
      </c>
      <c r="F3" s="1584"/>
      <c r="G3" s="1584"/>
      <c r="H3" s="1584"/>
      <c r="I3" s="1584"/>
      <c r="J3" s="1584"/>
      <c r="K3" s="1584"/>
      <c r="L3" s="1584"/>
      <c r="M3" s="1584"/>
      <c r="N3" s="1584"/>
      <c r="O3" s="1496"/>
      <c r="P3" s="1496"/>
      <c r="Q3" s="1496"/>
      <c r="R3" s="619"/>
      <c r="S3" s="619"/>
      <c r="T3" s="619"/>
      <c r="U3" s="619"/>
      <c r="V3" s="619"/>
      <c r="W3" s="619"/>
      <c r="X3" s="721"/>
    </row>
    <row r="4" spans="1:24" x14ac:dyDescent="0.25">
      <c r="A4" s="466" t="s">
        <v>496</v>
      </c>
      <c r="B4" s="466"/>
      <c r="C4" s="1584" t="s">
        <v>773</v>
      </c>
      <c r="D4" s="1499">
        <v>10.1</v>
      </c>
      <c r="E4" s="1584" t="s">
        <v>639</v>
      </c>
      <c r="F4" s="1584"/>
      <c r="G4" s="1496"/>
      <c r="H4" s="1496"/>
      <c r="I4" s="1496"/>
      <c r="J4" s="1496"/>
      <c r="K4" s="1496"/>
      <c r="L4" s="1496"/>
      <c r="M4" s="1496"/>
      <c r="N4" s="1496"/>
      <c r="O4" s="1496"/>
      <c r="P4" s="1596"/>
      <c r="Q4" s="1496"/>
      <c r="R4" s="733" t="s">
        <v>1716</v>
      </c>
      <c r="S4" s="619"/>
      <c r="T4" s="619"/>
      <c r="U4" s="619"/>
      <c r="V4" s="619"/>
      <c r="W4" s="619"/>
      <c r="X4" s="721"/>
    </row>
    <row r="5" spans="1:24" x14ac:dyDescent="0.25">
      <c r="A5" s="466">
        <v>124</v>
      </c>
      <c r="B5" s="466">
        <v>17</v>
      </c>
      <c r="C5" s="1597"/>
      <c r="D5" s="1598" t="s">
        <v>202</v>
      </c>
      <c r="E5" s="1515" t="str">
        <f>"Councillor Remuneration "&amp;'Merge Details_Printing instr'!A19</f>
        <v>Councillor Remuneration 2024</v>
      </c>
      <c r="F5" s="1494"/>
      <c r="G5" s="1597"/>
      <c r="H5" s="2355" t="s">
        <v>1208</v>
      </c>
      <c r="I5" s="2355"/>
      <c r="J5" s="2355"/>
      <c r="K5" s="1496"/>
      <c r="L5" s="1496"/>
      <c r="M5" s="1496"/>
      <c r="N5" s="1496"/>
      <c r="O5" s="1496"/>
      <c r="P5" s="1596"/>
      <c r="Q5" s="1496"/>
      <c r="S5" s="619"/>
      <c r="T5" s="619"/>
      <c r="U5" s="619"/>
      <c r="V5" s="619"/>
      <c r="W5" s="619"/>
      <c r="X5" s="721"/>
    </row>
    <row r="6" spans="1:24" s="635" customFormat="1" ht="27" customHeight="1" x14ac:dyDescent="0.25">
      <c r="A6" s="466"/>
      <c r="B6" s="466"/>
      <c r="C6" s="1496"/>
      <c r="D6" s="1599"/>
      <c r="E6" s="1517" t="s">
        <v>1468</v>
      </c>
      <c r="F6" s="1517" t="s">
        <v>1476</v>
      </c>
      <c r="G6" s="1517" t="s">
        <v>430</v>
      </c>
      <c r="H6" s="1600" t="s">
        <v>1107</v>
      </c>
      <c r="I6" s="2376" t="s">
        <v>1927</v>
      </c>
      <c r="J6" s="2376"/>
      <c r="K6" s="2376" t="s">
        <v>1210</v>
      </c>
      <c r="L6" s="2376"/>
      <c r="M6" s="2376" t="s">
        <v>1928</v>
      </c>
      <c r="N6" s="2376"/>
      <c r="O6" s="2376" t="s">
        <v>1211</v>
      </c>
      <c r="P6" s="2376"/>
      <c r="Q6" s="1830"/>
      <c r="R6" s="561" t="s">
        <v>1293</v>
      </c>
    </row>
    <row r="7" spans="1:24" ht="15" thickBot="1" x14ac:dyDescent="0.3">
      <c r="C7" s="1492"/>
      <c r="D7" s="1496"/>
      <c r="E7" s="1827"/>
      <c r="F7" s="1827"/>
      <c r="G7" s="1827"/>
      <c r="H7" s="1601" t="s">
        <v>1106</v>
      </c>
      <c r="I7" s="1601" t="s">
        <v>1106</v>
      </c>
      <c r="J7" s="1602"/>
      <c r="K7" s="2374" t="s">
        <v>1106</v>
      </c>
      <c r="L7" s="2374"/>
      <c r="M7" s="2374" t="s">
        <v>1106</v>
      </c>
      <c r="N7" s="2374"/>
      <c r="O7" s="2374" t="s">
        <v>1106</v>
      </c>
      <c r="P7" s="2374"/>
      <c r="Q7" s="1603"/>
      <c r="R7" s="2344" t="s">
        <v>1335</v>
      </c>
      <c r="S7" s="2344"/>
      <c r="T7" s="2344"/>
      <c r="U7" s="2344"/>
      <c r="V7" s="2344"/>
      <c r="W7" s="2344"/>
    </row>
    <row r="8" spans="1:24" x14ac:dyDescent="0.25">
      <c r="B8" s="466"/>
      <c r="C8" s="1492"/>
      <c r="D8" s="1599"/>
      <c r="E8" s="1496" t="s">
        <v>1480</v>
      </c>
      <c r="F8" s="1824" t="s">
        <v>1212</v>
      </c>
      <c r="G8" s="1824" t="s">
        <v>1494</v>
      </c>
      <c r="H8" s="1604">
        <v>40000</v>
      </c>
      <c r="I8" s="2370">
        <v>5000</v>
      </c>
      <c r="J8" s="2370"/>
      <c r="K8" s="2369">
        <f>SUM(F8:J8)</f>
        <v>45000</v>
      </c>
      <c r="L8" s="2369"/>
      <c r="M8" s="2371">
        <v>2000</v>
      </c>
      <c r="N8" s="2371"/>
      <c r="O8" s="2369">
        <f>SUM(K8:M8)</f>
        <v>47000</v>
      </c>
      <c r="P8" s="2369"/>
      <c r="Q8" s="1605"/>
      <c r="R8" s="2344"/>
      <c r="S8" s="2344"/>
      <c r="T8" s="2344"/>
      <c r="U8" s="2344"/>
      <c r="V8" s="2344"/>
      <c r="W8" s="2344"/>
    </row>
    <row r="9" spans="1:24" x14ac:dyDescent="0.25">
      <c r="A9" s="466"/>
      <c r="B9" s="466"/>
      <c r="C9" s="1492"/>
      <c r="D9" s="1599"/>
      <c r="E9" s="1496" t="s">
        <v>1481</v>
      </c>
      <c r="F9" s="1825" t="s">
        <v>1207</v>
      </c>
      <c r="G9" s="1824" t="s">
        <v>1494</v>
      </c>
      <c r="H9" s="1604">
        <v>20000</v>
      </c>
      <c r="I9" s="2370" t="s">
        <v>266</v>
      </c>
      <c r="J9" s="2370"/>
      <c r="K9" s="2369">
        <f>SUM(F9:J9)</f>
        <v>20000</v>
      </c>
      <c r="L9" s="2369"/>
      <c r="M9" s="2371">
        <v>3000</v>
      </c>
      <c r="N9" s="2371"/>
      <c r="O9" s="2369">
        <f>SUM(K9:M9)</f>
        <v>23000</v>
      </c>
      <c r="P9" s="2369"/>
      <c r="Q9" s="1605"/>
      <c r="R9" s="2344"/>
      <c r="S9" s="2344"/>
      <c r="T9" s="2344"/>
      <c r="U9" s="2344"/>
      <c r="V9" s="2344"/>
      <c r="W9" s="2344"/>
    </row>
    <row r="10" spans="1:24" x14ac:dyDescent="0.25">
      <c r="A10" s="466"/>
      <c r="B10" s="466"/>
      <c r="C10" s="1492"/>
      <c r="D10" s="1599"/>
      <c r="E10" s="1496" t="s">
        <v>1482</v>
      </c>
      <c r="F10" s="1825" t="s">
        <v>1477</v>
      </c>
      <c r="G10" s="1824" t="s">
        <v>1494</v>
      </c>
      <c r="H10" s="1604">
        <v>85000</v>
      </c>
      <c r="I10" s="2370" t="s">
        <v>266</v>
      </c>
      <c r="J10" s="2370"/>
      <c r="K10" s="2369">
        <f>SUM(F10:J10)</f>
        <v>85000</v>
      </c>
      <c r="L10" s="2369"/>
      <c r="M10" s="2371">
        <v>6000</v>
      </c>
      <c r="N10" s="2371"/>
      <c r="O10" s="2369">
        <f>SUM(K10:M10)</f>
        <v>91000</v>
      </c>
      <c r="P10" s="2369"/>
      <c r="Q10" s="1605"/>
      <c r="R10" s="2344"/>
      <c r="S10" s="2344"/>
      <c r="T10" s="2344"/>
      <c r="U10" s="2344"/>
      <c r="V10" s="2344"/>
      <c r="W10" s="2344"/>
    </row>
    <row r="11" spans="1:24" x14ac:dyDescent="0.25">
      <c r="A11" s="466"/>
      <c r="B11" s="466"/>
      <c r="C11" s="1492"/>
      <c r="D11" s="1599"/>
      <c r="E11" s="1496"/>
      <c r="F11" s="1825" t="s">
        <v>1714</v>
      </c>
      <c r="G11" s="1825"/>
      <c r="H11" s="1604">
        <v>0</v>
      </c>
      <c r="I11" s="2369" t="s">
        <v>266</v>
      </c>
      <c r="J11" s="2369"/>
      <c r="K11" s="2369">
        <f>SUM(F11:J11)</f>
        <v>0</v>
      </c>
      <c r="L11" s="2369"/>
      <c r="M11" s="2369" t="s">
        <v>266</v>
      </c>
      <c r="N11" s="2369"/>
      <c r="O11" s="2369">
        <f>SUM(K11:M11)</f>
        <v>0</v>
      </c>
      <c r="P11" s="2369"/>
      <c r="Q11" s="1605"/>
      <c r="R11" s="2344"/>
      <c r="S11" s="2344"/>
      <c r="T11" s="2344"/>
      <c r="U11" s="2344"/>
      <c r="V11" s="2344"/>
      <c r="W11" s="2344"/>
    </row>
    <row r="12" spans="1:24" x14ac:dyDescent="0.25">
      <c r="A12" s="466"/>
      <c r="B12" s="466"/>
      <c r="C12" s="1492"/>
      <c r="D12" s="1599"/>
      <c r="E12" s="1606" t="s">
        <v>103</v>
      </c>
      <c r="F12" s="1606"/>
      <c r="G12" s="1606"/>
      <c r="H12" s="984">
        <f>SUM(H8:H11)</f>
        <v>145000</v>
      </c>
      <c r="I12" s="2372">
        <f>SUM(I8:I11)</f>
        <v>5000</v>
      </c>
      <c r="J12" s="2372"/>
      <c r="K12" s="2373">
        <f>SUM(K8:L11)</f>
        <v>150000</v>
      </c>
      <c r="L12" s="2373"/>
      <c r="M12" s="2373">
        <f>SUM(M8:M11)</f>
        <v>11000</v>
      </c>
      <c r="N12" s="2373"/>
      <c r="O12" s="2373">
        <f>SUM(O8:P11)</f>
        <v>161000</v>
      </c>
      <c r="P12" s="2373"/>
      <c r="Q12" s="1607"/>
      <c r="S12" s="661"/>
      <c r="T12" s="661"/>
      <c r="U12" s="661"/>
      <c r="V12" s="661"/>
    </row>
    <row r="13" spans="1:24" s="431" customFormat="1" ht="9" customHeight="1" thickBot="1" x14ac:dyDescent="0.3">
      <c r="A13" s="646"/>
      <c r="B13" s="646"/>
      <c r="C13" s="1492"/>
      <c r="D13" s="1608"/>
      <c r="E13" s="1609"/>
      <c r="F13" s="1609"/>
      <c r="G13" s="1609"/>
      <c r="H13" s="1610"/>
      <c r="I13" s="1611"/>
      <c r="J13" s="1612"/>
      <c r="K13" s="1613"/>
      <c r="L13" s="1613"/>
      <c r="M13" s="1613"/>
      <c r="N13" s="1613"/>
      <c r="O13" s="1614"/>
      <c r="P13" s="1614"/>
      <c r="Q13" s="1615"/>
      <c r="S13" s="474"/>
      <c r="T13" s="474"/>
      <c r="U13" s="474"/>
      <c r="V13" s="474"/>
      <c r="W13" s="474"/>
    </row>
    <row r="14" spans="1:24" x14ac:dyDescent="0.25">
      <c r="A14" s="466"/>
      <c r="B14" s="466"/>
      <c r="C14" s="1492"/>
      <c r="D14" s="1599"/>
      <c r="E14" s="1584" t="str">
        <f>"Councillor Remuneration "&amp;'Merge Details_Printing instr'!A20</f>
        <v>Councillor Remuneration 2023</v>
      </c>
      <c r="F14" s="1616"/>
      <c r="G14" s="1616"/>
      <c r="H14" s="1616"/>
      <c r="I14" s="1616"/>
      <c r="J14" s="1616"/>
      <c r="K14" s="1617"/>
      <c r="L14" s="1496"/>
      <c r="M14" s="1496"/>
      <c r="N14" s="1496"/>
      <c r="O14" s="1496"/>
      <c r="P14" s="1526"/>
      <c r="Q14" s="1526"/>
      <c r="R14" s="661"/>
    </row>
    <row r="15" spans="1:24" x14ac:dyDescent="0.25">
      <c r="A15" s="466"/>
      <c r="B15" s="466"/>
      <c r="C15" s="1492"/>
      <c r="D15" s="1599"/>
      <c r="E15" s="1496" t="s">
        <v>1480</v>
      </c>
      <c r="F15" s="1824" t="s">
        <v>1212</v>
      </c>
      <c r="G15" s="1824" t="s">
        <v>1494</v>
      </c>
      <c r="H15" s="1604">
        <v>40000</v>
      </c>
      <c r="I15" s="2370">
        <v>5000</v>
      </c>
      <c r="J15" s="2370"/>
      <c r="K15" s="2369">
        <f>SUM(F15:J15)</f>
        <v>45000</v>
      </c>
      <c r="L15" s="2369"/>
      <c r="M15" s="2371">
        <v>2000</v>
      </c>
      <c r="N15" s="2371"/>
      <c r="O15" s="2369">
        <f>SUM(K15:M15)</f>
        <v>47000</v>
      </c>
      <c r="P15" s="2369"/>
      <c r="Q15" s="1496"/>
      <c r="R15" s="563" t="s">
        <v>1294</v>
      </c>
    </row>
    <row r="16" spans="1:24" x14ac:dyDescent="0.25">
      <c r="A16" s="466"/>
      <c r="B16" s="466"/>
      <c r="C16" s="1492"/>
      <c r="D16" s="1599"/>
      <c r="E16" s="1496" t="s">
        <v>1481</v>
      </c>
      <c r="F16" s="1825" t="s">
        <v>1207</v>
      </c>
      <c r="G16" s="1824" t="s">
        <v>1494</v>
      </c>
      <c r="H16" s="1604">
        <v>20000</v>
      </c>
      <c r="I16" s="2370" t="s">
        <v>266</v>
      </c>
      <c r="J16" s="2370"/>
      <c r="K16" s="2369">
        <f>SUM(F16:J16)</f>
        <v>20000</v>
      </c>
      <c r="L16" s="2369"/>
      <c r="M16" s="2371">
        <v>3000</v>
      </c>
      <c r="N16" s="2371"/>
      <c r="O16" s="2369">
        <f>SUM(K16:M16)</f>
        <v>23000</v>
      </c>
      <c r="P16" s="2369"/>
      <c r="Q16" s="1496"/>
      <c r="R16" s="562"/>
    </row>
    <row r="17" spans="1:31" x14ac:dyDescent="0.25">
      <c r="A17" s="466"/>
      <c r="B17" s="466"/>
      <c r="C17" s="1492"/>
      <c r="D17" s="1599"/>
      <c r="E17" s="1496" t="s">
        <v>1482</v>
      </c>
      <c r="F17" s="1825" t="s">
        <v>1477</v>
      </c>
      <c r="G17" s="1824" t="s">
        <v>1494</v>
      </c>
      <c r="H17" s="1604">
        <v>85000</v>
      </c>
      <c r="I17" s="2370" t="s">
        <v>266</v>
      </c>
      <c r="J17" s="2370"/>
      <c r="K17" s="2369">
        <f>SUM(F17:J17)</f>
        <v>85000</v>
      </c>
      <c r="L17" s="2369"/>
      <c r="M17" s="2371">
        <v>6000</v>
      </c>
      <c r="N17" s="2371"/>
      <c r="O17" s="2369">
        <f>SUM(K17:M17)</f>
        <v>91000</v>
      </c>
      <c r="P17" s="2369"/>
      <c r="Q17" s="1496"/>
    </row>
    <row r="18" spans="1:31" x14ac:dyDescent="0.25">
      <c r="A18" s="466"/>
      <c r="B18" s="466"/>
      <c r="C18" s="1492"/>
      <c r="D18" s="1599"/>
      <c r="E18" s="1496"/>
      <c r="F18" s="1825" t="s">
        <v>1714</v>
      </c>
      <c r="G18" s="1825"/>
      <c r="H18" s="1604">
        <v>0</v>
      </c>
      <c r="I18" s="2369" t="s">
        <v>266</v>
      </c>
      <c r="J18" s="2369"/>
      <c r="K18" s="2369">
        <f>SUM(F18:J18)</f>
        <v>0</v>
      </c>
      <c r="L18" s="2369"/>
      <c r="M18" s="2369" t="s">
        <v>266</v>
      </c>
      <c r="N18" s="2369"/>
      <c r="O18" s="2369">
        <f>SUM(K18:M18)</f>
        <v>0</v>
      </c>
      <c r="P18" s="2369"/>
      <c r="Q18" s="1496"/>
    </row>
    <row r="19" spans="1:31" ht="15" thickBot="1" x14ac:dyDescent="0.3">
      <c r="A19" s="466"/>
      <c r="B19" s="466"/>
      <c r="C19" s="1492"/>
      <c r="D19" s="1599"/>
      <c r="E19" s="1618" t="s">
        <v>103</v>
      </c>
      <c r="F19" s="1618"/>
      <c r="G19" s="1618"/>
      <c r="H19" s="1355">
        <f>SUM(H15:H18)</f>
        <v>145000</v>
      </c>
      <c r="I19" s="2367">
        <f>SUM(I15:I18)</f>
        <v>5000</v>
      </c>
      <c r="J19" s="2367"/>
      <c r="K19" s="2368">
        <f>SUM(K15:L18)</f>
        <v>150000</v>
      </c>
      <c r="L19" s="2368"/>
      <c r="M19" s="2368">
        <f>SUM(M15:M18)</f>
        <v>11000</v>
      </c>
      <c r="N19" s="2368"/>
      <c r="O19" s="2368">
        <f>SUM(O15:P18)</f>
        <v>161000</v>
      </c>
      <c r="P19" s="2368"/>
      <c r="Q19" s="1496"/>
    </row>
    <row r="20" spans="1:31" ht="6" customHeight="1" x14ac:dyDescent="0.25">
      <c r="A20" s="466"/>
      <c r="B20" s="466"/>
      <c r="C20" s="1492"/>
      <c r="D20" s="1599"/>
      <c r="E20" s="1599"/>
      <c r="F20" s="1599"/>
      <c r="G20" s="1599"/>
      <c r="H20" s="1599"/>
      <c r="I20" s="1207"/>
      <c r="J20" s="1493"/>
      <c r="K20" s="1493"/>
      <c r="L20" s="1493"/>
      <c r="M20" s="1619"/>
      <c r="N20" s="1620"/>
      <c r="O20" s="1621"/>
      <c r="P20" s="1621"/>
      <c r="Q20" s="1496"/>
    </row>
    <row r="21" spans="1:31" ht="27" customHeight="1" x14ac:dyDescent="0.25">
      <c r="A21" s="466"/>
      <c r="B21" s="466"/>
      <c r="C21" s="1608"/>
      <c r="D21" s="1496"/>
      <c r="E21" s="2317" t="s">
        <v>1898</v>
      </c>
      <c r="F21" s="2317"/>
      <c r="G21" s="2317"/>
      <c r="H21" s="2317"/>
      <c r="I21" s="2317"/>
      <c r="J21" s="2317"/>
      <c r="K21" s="2317"/>
      <c r="L21" s="2317"/>
      <c r="M21" s="2317"/>
      <c r="N21" s="2317"/>
      <c r="O21" s="2317"/>
      <c r="P21" s="2317"/>
      <c r="Q21" s="2317"/>
    </row>
    <row r="22" spans="1:31" x14ac:dyDescent="0.25">
      <c r="A22" s="466"/>
      <c r="B22" s="466"/>
      <c r="C22" s="1608"/>
      <c r="D22" s="1496"/>
      <c r="E22" s="2317" t="s">
        <v>1899</v>
      </c>
      <c r="F22" s="2317"/>
      <c r="G22" s="2317"/>
      <c r="H22" s="2317"/>
      <c r="I22" s="2317"/>
      <c r="J22" s="2317"/>
      <c r="K22" s="2317"/>
      <c r="L22" s="2317"/>
      <c r="M22" s="2317"/>
      <c r="N22" s="2317"/>
      <c r="O22" s="2317"/>
      <c r="P22" s="2317"/>
      <c r="Q22" s="2317"/>
    </row>
    <row r="23" spans="1:31" ht="6" customHeight="1" x14ac:dyDescent="0.25">
      <c r="A23" s="466"/>
      <c r="B23" s="466"/>
      <c r="C23" s="1492"/>
      <c r="D23" s="1599"/>
      <c r="E23" s="1599"/>
      <c r="F23" s="1599"/>
      <c r="G23" s="1599"/>
      <c r="H23" s="1599"/>
      <c r="I23" s="1207"/>
      <c r="J23" s="1493"/>
      <c r="K23" s="1493"/>
      <c r="L23" s="1493"/>
      <c r="M23" s="1619"/>
      <c r="N23" s="1620"/>
      <c r="O23" s="1621"/>
      <c r="P23" s="1621"/>
      <c r="Q23" s="1496"/>
    </row>
    <row r="24" spans="1:31" ht="18" customHeight="1" x14ac:dyDescent="0.25">
      <c r="A24" s="466"/>
      <c r="B24" s="466"/>
      <c r="C24" s="1492"/>
      <c r="D24" s="1622" t="s">
        <v>1104</v>
      </c>
      <c r="E24" s="1623" t="str">
        <f>"Key Management Personnel Remuneration "&amp;'Merge Details_Printing instr'!A19</f>
        <v>Key Management Personnel Remuneration 2024</v>
      </c>
      <c r="F24" s="1616"/>
      <c r="G24" s="1616"/>
      <c r="H24" s="1950"/>
      <c r="I24" s="1944"/>
      <c r="J24" s="2354" t="s">
        <v>1208</v>
      </c>
      <c r="K24" s="2355"/>
      <c r="L24" s="2356"/>
      <c r="M24" s="2363" t="s">
        <v>1209</v>
      </c>
      <c r="N24" s="2364"/>
      <c r="O24" s="1624"/>
      <c r="P24" s="1625"/>
      <c r="Q24" s="1496"/>
      <c r="R24" s="2360" t="s">
        <v>1116</v>
      </c>
      <c r="S24" s="2360"/>
      <c r="T24" s="2360"/>
      <c r="U24" s="2360"/>
      <c r="V24" s="2360"/>
    </row>
    <row r="25" spans="1:31" s="635" customFormat="1" ht="71.400000000000006" x14ac:dyDescent="0.25">
      <c r="A25" s="634"/>
      <c r="B25" s="634"/>
      <c r="C25" s="1626"/>
      <c r="D25" s="1627"/>
      <c r="E25" s="1826" t="s">
        <v>1468</v>
      </c>
      <c r="F25" s="1826" t="s">
        <v>1476</v>
      </c>
      <c r="G25" s="1826" t="s">
        <v>430</v>
      </c>
      <c r="H25" s="2357" t="s">
        <v>1213</v>
      </c>
      <c r="I25" s="2358"/>
      <c r="J25" s="1963" t="s">
        <v>1900</v>
      </c>
      <c r="K25" s="1964" t="s">
        <v>1962</v>
      </c>
      <c r="L25" s="1629" t="s">
        <v>1963</v>
      </c>
      <c r="M25" s="1630" t="s">
        <v>1964</v>
      </c>
      <c r="N25" s="1600" t="s">
        <v>1965</v>
      </c>
      <c r="O25" s="1631" t="s">
        <v>1966</v>
      </c>
      <c r="P25" s="1628" t="s">
        <v>103</v>
      </c>
      <c r="Q25" s="1597"/>
      <c r="R25" s="2360"/>
      <c r="S25" s="2360"/>
      <c r="T25" s="2360"/>
      <c r="U25" s="2360"/>
      <c r="V25" s="2360"/>
      <c r="W25" s="636"/>
      <c r="X25" s="636"/>
      <c r="Y25" s="636"/>
      <c r="Z25" s="636"/>
      <c r="AA25" s="636"/>
      <c r="AB25" s="636"/>
      <c r="AC25" s="636"/>
      <c r="AD25" s="636"/>
      <c r="AE25" s="636"/>
    </row>
    <row r="26" spans="1:31" ht="15" thickBot="1" x14ac:dyDescent="0.3">
      <c r="A26" s="466"/>
      <c r="B26" s="466"/>
      <c r="C26" s="1492"/>
      <c r="D26" s="1599"/>
      <c r="E26" s="1827"/>
      <c r="F26" s="1827"/>
      <c r="G26" s="1827"/>
      <c r="H26" s="1951"/>
      <c r="I26" s="1952"/>
      <c r="J26" s="1965" t="s">
        <v>1106</v>
      </c>
      <c r="K26" s="1966" t="s">
        <v>1106</v>
      </c>
      <c r="L26" s="1601" t="s">
        <v>1106</v>
      </c>
      <c r="M26" s="1632" t="s">
        <v>1106</v>
      </c>
      <c r="N26" s="1601" t="s">
        <v>1106</v>
      </c>
      <c r="O26" s="1633" t="s">
        <v>1106</v>
      </c>
      <c r="P26" s="1601" t="s">
        <v>1106</v>
      </c>
      <c r="Q26" s="1496"/>
    </row>
    <row r="27" spans="1:31" x14ac:dyDescent="0.25">
      <c r="A27" s="466"/>
      <c r="B27" s="466"/>
      <c r="C27" s="1492"/>
      <c r="D27" s="1599"/>
      <c r="E27" s="1496" t="s">
        <v>1483</v>
      </c>
      <c r="F27" s="1496" t="s">
        <v>215</v>
      </c>
      <c r="G27" s="1824" t="s">
        <v>1494</v>
      </c>
      <c r="H27" s="2350" t="s">
        <v>1214</v>
      </c>
      <c r="I27" s="2351"/>
      <c r="J27" s="1945">
        <v>105000</v>
      </c>
      <c r="K27" s="1604">
        <v>10000</v>
      </c>
      <c r="L27" s="1604">
        <v>0</v>
      </c>
      <c r="M27" s="1634">
        <v>12000</v>
      </c>
      <c r="N27" s="1604">
        <v>0</v>
      </c>
      <c r="O27" s="1635">
        <v>-3000</v>
      </c>
      <c r="P27" s="981">
        <f>SUM(I27:O27)</f>
        <v>124000</v>
      </c>
      <c r="Q27" s="1496"/>
      <c r="R27" s="2360" t="s">
        <v>1292</v>
      </c>
      <c r="S27" s="2360"/>
      <c r="T27" s="2360"/>
      <c r="U27" s="2360"/>
      <c r="V27" s="2360"/>
    </row>
    <row r="28" spans="1:31" x14ac:dyDescent="0.25">
      <c r="A28" s="466"/>
      <c r="B28" s="466"/>
      <c r="C28" s="1492"/>
      <c r="D28" s="1599"/>
      <c r="E28" s="1496" t="s">
        <v>1484</v>
      </c>
      <c r="F28" s="1496" t="s">
        <v>1233</v>
      </c>
      <c r="G28" s="1824" t="s">
        <v>1494</v>
      </c>
      <c r="H28" s="2352" t="s">
        <v>1215</v>
      </c>
      <c r="I28" s="2353"/>
      <c r="J28" s="1946">
        <v>125000</v>
      </c>
      <c r="K28" s="1604">
        <v>10000</v>
      </c>
      <c r="L28" s="1604">
        <v>0</v>
      </c>
      <c r="M28" s="1634">
        <v>15000</v>
      </c>
      <c r="N28" s="1604">
        <v>0</v>
      </c>
      <c r="O28" s="1635">
        <v>5000</v>
      </c>
      <c r="P28" s="981">
        <f>SUM(I28:O28)</f>
        <v>155000</v>
      </c>
      <c r="Q28" s="1496"/>
      <c r="R28" s="2360"/>
      <c r="S28" s="2360"/>
      <c r="T28" s="2360"/>
      <c r="U28" s="2360"/>
      <c r="V28" s="2360"/>
    </row>
    <row r="29" spans="1:31" x14ac:dyDescent="0.25">
      <c r="A29" s="466"/>
      <c r="B29" s="466"/>
      <c r="C29" s="1492"/>
      <c r="D29" s="1599"/>
      <c r="E29" s="1496" t="s">
        <v>1485</v>
      </c>
      <c r="F29" s="1496" t="s">
        <v>1740</v>
      </c>
      <c r="G29" s="1824" t="s">
        <v>1739</v>
      </c>
      <c r="H29" s="2352" t="s">
        <v>1216</v>
      </c>
      <c r="I29" s="2353"/>
      <c r="J29" s="1946">
        <v>106250</v>
      </c>
      <c r="K29" s="1604">
        <v>6000</v>
      </c>
      <c r="L29" s="1604">
        <f>I29*9.25%</f>
        <v>0</v>
      </c>
      <c r="M29" s="1634">
        <v>6750</v>
      </c>
      <c r="N29" s="1604">
        <v>35000</v>
      </c>
      <c r="O29" s="1635">
        <v>-3000</v>
      </c>
      <c r="P29" s="981">
        <f>SUM(I29:O29)</f>
        <v>151000</v>
      </c>
      <c r="Q29" s="1496"/>
      <c r="R29" s="2360"/>
      <c r="S29" s="2360"/>
      <c r="T29" s="2360"/>
      <c r="U29" s="2360"/>
      <c r="V29" s="2360"/>
    </row>
    <row r="30" spans="1:31" x14ac:dyDescent="0.25">
      <c r="A30" s="466"/>
      <c r="B30" s="466"/>
      <c r="C30" s="1492"/>
      <c r="D30" s="1599"/>
      <c r="E30" s="1496" t="s">
        <v>1486</v>
      </c>
      <c r="F30" s="1496" t="s">
        <v>1467</v>
      </c>
      <c r="G30" s="1824" t="s">
        <v>1494</v>
      </c>
      <c r="H30" s="2348" t="s">
        <v>1217</v>
      </c>
      <c r="I30" s="2349"/>
      <c r="J30" s="1947">
        <v>185000</v>
      </c>
      <c r="K30" s="1604">
        <v>12000</v>
      </c>
      <c r="L30" s="1604">
        <f>I30*9.25%</f>
        <v>0</v>
      </c>
      <c r="M30" s="1634">
        <v>24600</v>
      </c>
      <c r="N30" s="1604">
        <v>0</v>
      </c>
      <c r="O30" s="1635">
        <v>9500</v>
      </c>
      <c r="P30" s="981">
        <f>SUM(I30:O30)</f>
        <v>231100</v>
      </c>
      <c r="Q30" s="1496"/>
      <c r="R30" s="2360"/>
      <c r="S30" s="2360"/>
      <c r="T30" s="2360"/>
      <c r="U30" s="2360"/>
      <c r="V30" s="2360"/>
    </row>
    <row r="31" spans="1:31" x14ac:dyDescent="0.25">
      <c r="A31" s="466"/>
      <c r="B31" s="466"/>
      <c r="C31" s="1492"/>
      <c r="D31" s="1599"/>
      <c r="E31" s="1606" t="s">
        <v>1479</v>
      </c>
      <c r="F31" s="1606"/>
      <c r="G31" s="1606"/>
      <c r="H31" s="1606"/>
      <c r="I31" s="984"/>
      <c r="J31" s="984">
        <f t="shared" ref="J31" si="0">SUM(J27:J30)</f>
        <v>521250</v>
      </c>
      <c r="K31" s="984">
        <f t="shared" ref="K31:P31" si="1">SUM(K27:K30)</f>
        <v>38000</v>
      </c>
      <c r="L31" s="984">
        <f t="shared" si="1"/>
        <v>0</v>
      </c>
      <c r="M31" s="1636">
        <f t="shared" si="1"/>
        <v>58350</v>
      </c>
      <c r="N31" s="1346">
        <f t="shared" si="1"/>
        <v>35000</v>
      </c>
      <c r="O31" s="984">
        <f t="shared" si="1"/>
        <v>8500</v>
      </c>
      <c r="P31" s="984">
        <f t="shared" si="1"/>
        <v>661100</v>
      </c>
      <c r="Q31" s="1496"/>
      <c r="R31" s="2360"/>
      <c r="S31" s="2360"/>
      <c r="T31" s="2360"/>
      <c r="U31" s="2360"/>
      <c r="V31" s="2360"/>
    </row>
    <row r="32" spans="1:31" x14ac:dyDescent="0.25">
      <c r="A32" s="466"/>
      <c r="B32" s="466"/>
      <c r="C32" s="1492"/>
      <c r="D32" s="1599"/>
      <c r="E32" s="1637" t="s">
        <v>1478</v>
      </c>
      <c r="F32" s="1638"/>
      <c r="G32" s="1638"/>
      <c r="H32" s="1953"/>
      <c r="I32" s="1954"/>
      <c r="J32" s="1948"/>
      <c r="K32" s="1346"/>
      <c r="L32" s="1639"/>
      <c r="M32" s="1640"/>
      <c r="N32" s="1639"/>
      <c r="O32" s="1639"/>
      <c r="P32" s="985"/>
      <c r="Q32" s="1496"/>
      <c r="R32" s="2360"/>
      <c r="S32" s="2360"/>
      <c r="T32" s="2360"/>
      <c r="U32" s="2360"/>
      <c r="V32" s="2360"/>
    </row>
    <row r="33" spans="1:22" ht="27.6" x14ac:dyDescent="0.25">
      <c r="A33" s="466"/>
      <c r="B33" s="466"/>
      <c r="C33" s="1492"/>
      <c r="D33" s="1599"/>
      <c r="E33" s="1496" t="s">
        <v>1490</v>
      </c>
      <c r="F33" s="1496" t="s">
        <v>1742</v>
      </c>
      <c r="G33" s="1824" t="s">
        <v>1741</v>
      </c>
      <c r="H33" s="2348" t="s">
        <v>1501</v>
      </c>
      <c r="I33" s="2349"/>
      <c r="J33" s="1947">
        <v>50000</v>
      </c>
      <c r="K33" s="1604">
        <v>5000</v>
      </c>
      <c r="L33" s="1641">
        <v>0</v>
      </c>
      <c r="M33" s="1642">
        <v>2000</v>
      </c>
      <c r="N33" s="1643">
        <v>0</v>
      </c>
      <c r="O33" s="1641">
        <v>-3000</v>
      </c>
      <c r="P33" s="981">
        <f>SUM(I33:O33)</f>
        <v>54000</v>
      </c>
      <c r="Q33" s="1496"/>
      <c r="R33" s="2360"/>
      <c r="S33" s="2360"/>
      <c r="T33" s="2360"/>
      <c r="U33" s="2360"/>
      <c r="V33" s="2360"/>
    </row>
    <row r="34" spans="1:22" x14ac:dyDescent="0.25">
      <c r="A34" s="466"/>
      <c r="B34" s="466"/>
      <c r="C34" s="1492"/>
      <c r="D34" s="1599"/>
      <c r="E34" s="1606" t="s">
        <v>1479</v>
      </c>
      <c r="F34" s="1606"/>
      <c r="G34" s="1606"/>
      <c r="H34" s="1606"/>
      <c r="I34" s="984"/>
      <c r="J34" s="984">
        <f>SUM(J33)</f>
        <v>50000</v>
      </c>
      <c r="K34" s="984">
        <f t="shared" ref="K34:P34" si="2">SUM(K33)</f>
        <v>5000</v>
      </c>
      <c r="L34" s="984">
        <f t="shared" si="2"/>
        <v>0</v>
      </c>
      <c r="M34" s="984">
        <f t="shared" si="2"/>
        <v>2000</v>
      </c>
      <c r="N34" s="1644">
        <f t="shared" si="2"/>
        <v>0</v>
      </c>
      <c r="O34" s="984">
        <f t="shared" si="2"/>
        <v>-3000</v>
      </c>
      <c r="P34" s="984">
        <f t="shared" si="2"/>
        <v>54000</v>
      </c>
      <c r="Q34" s="1496"/>
      <c r="R34" s="2360"/>
      <c r="S34" s="2360"/>
      <c r="T34" s="2360"/>
      <c r="U34" s="2360"/>
      <c r="V34" s="2360"/>
    </row>
    <row r="35" spans="1:22" ht="15" thickBot="1" x14ac:dyDescent="0.3">
      <c r="A35" s="466"/>
      <c r="B35" s="466"/>
      <c r="C35" s="1492"/>
      <c r="D35" s="1599"/>
      <c r="E35" s="1618" t="s">
        <v>103</v>
      </c>
      <c r="F35" s="1618"/>
      <c r="G35" s="1618"/>
      <c r="H35" s="1618"/>
      <c r="I35" s="1355"/>
      <c r="J35" s="1355">
        <f t="shared" ref="J35" si="3">J31+J34</f>
        <v>571250</v>
      </c>
      <c r="K35" s="1355">
        <f t="shared" ref="K35:P35" si="4">K31+K34</f>
        <v>43000</v>
      </c>
      <c r="L35" s="1355">
        <f t="shared" si="4"/>
        <v>0</v>
      </c>
      <c r="M35" s="1355">
        <f t="shared" si="4"/>
        <v>60350</v>
      </c>
      <c r="N35" s="1355">
        <f t="shared" si="4"/>
        <v>35000</v>
      </c>
      <c r="O35" s="1355">
        <f t="shared" si="4"/>
        <v>5500</v>
      </c>
      <c r="P35" s="1355">
        <f t="shared" si="4"/>
        <v>715100</v>
      </c>
      <c r="Q35" s="1496"/>
    </row>
    <row r="36" spans="1:22" ht="12" customHeight="1" x14ac:dyDescent="0.25">
      <c r="A36" s="466"/>
      <c r="B36" s="466"/>
      <c r="C36" s="1492"/>
      <c r="D36" s="1496"/>
      <c r="E36" s="1496"/>
      <c r="F36" s="1584"/>
      <c r="G36" s="1584"/>
      <c r="H36" s="1828"/>
      <c r="I36" s="981"/>
      <c r="J36" s="981"/>
      <c r="K36" s="981"/>
      <c r="L36" s="981"/>
      <c r="M36" s="981"/>
      <c r="N36" s="981"/>
      <c r="O36" s="981"/>
      <c r="P36" s="981"/>
      <c r="Q36" s="1496"/>
    </row>
    <row r="37" spans="1:22" ht="15" thickBot="1" x14ac:dyDescent="0.3">
      <c r="A37" s="466"/>
      <c r="B37" s="466"/>
      <c r="C37" s="1492"/>
      <c r="D37" s="1599"/>
      <c r="E37" s="1645" t="str">
        <f>"Key Management Personnel Remuneration "&amp;'Merge Details_Printing instr'!A20</f>
        <v>Key Management Personnel Remuneration 2023</v>
      </c>
      <c r="F37" s="1645"/>
      <c r="G37" s="1645"/>
      <c r="H37" s="1957"/>
      <c r="I37" s="1956"/>
      <c r="J37" s="1955"/>
      <c r="K37" s="1955"/>
      <c r="L37" s="1956"/>
      <c r="M37" s="2365"/>
      <c r="N37" s="2366"/>
      <c r="O37" s="1646"/>
      <c r="P37" s="1829"/>
      <c r="Q37" s="1600"/>
    </row>
    <row r="38" spans="1:22" ht="15" x14ac:dyDescent="0.25">
      <c r="A38" s="466"/>
      <c r="B38" s="466"/>
      <c r="C38" s="1492"/>
      <c r="D38" s="1599"/>
      <c r="E38" s="1496" t="s">
        <v>1483</v>
      </c>
      <c r="F38" s="1496" t="s">
        <v>215</v>
      </c>
      <c r="G38" s="1824" t="s">
        <v>1494</v>
      </c>
      <c r="H38" s="2350" t="s">
        <v>1214</v>
      </c>
      <c r="I38" s="2351"/>
      <c r="J38" s="1949">
        <v>99500</v>
      </c>
      <c r="K38" s="1604">
        <v>10000</v>
      </c>
      <c r="L38" s="1604">
        <v>0</v>
      </c>
      <c r="M38" s="1634">
        <v>14000</v>
      </c>
      <c r="N38" s="1604">
        <v>0</v>
      </c>
      <c r="O38" s="1635">
        <v>-3000</v>
      </c>
      <c r="P38" s="981">
        <f>SUM(I38:O38)</f>
        <v>120500</v>
      </c>
      <c r="Q38" s="1496"/>
      <c r="R38" s="488" t="s">
        <v>1220</v>
      </c>
    </row>
    <row r="39" spans="1:22" ht="15" x14ac:dyDescent="0.25">
      <c r="A39" s="466"/>
      <c r="B39" s="466"/>
      <c r="C39" s="1492"/>
      <c r="D39" s="1599"/>
      <c r="E39" s="1496" t="s">
        <v>1484</v>
      </c>
      <c r="F39" s="1496" t="s">
        <v>1233</v>
      </c>
      <c r="G39" s="1824" t="s">
        <v>1494</v>
      </c>
      <c r="H39" s="2352" t="s">
        <v>1215</v>
      </c>
      <c r="I39" s="2353"/>
      <c r="J39" s="1946">
        <v>120000</v>
      </c>
      <c r="K39" s="1604">
        <v>10000</v>
      </c>
      <c r="L39" s="1604">
        <v>0</v>
      </c>
      <c r="M39" s="1634">
        <v>15000</v>
      </c>
      <c r="N39" s="1604">
        <v>0</v>
      </c>
      <c r="O39" s="1635">
        <v>5000</v>
      </c>
      <c r="P39" s="981">
        <f>SUM(I39:O39)</f>
        <v>150000</v>
      </c>
      <c r="Q39" s="1496"/>
      <c r="R39" s="478"/>
    </row>
    <row r="40" spans="1:22" ht="15" x14ac:dyDescent="0.25">
      <c r="A40" s="466"/>
      <c r="B40" s="466"/>
      <c r="C40" s="1492"/>
      <c r="D40" s="1599"/>
      <c r="E40" s="1496" t="s">
        <v>1485</v>
      </c>
      <c r="F40" s="1496" t="s">
        <v>1466</v>
      </c>
      <c r="G40" s="1824" t="s">
        <v>1494</v>
      </c>
      <c r="H40" s="2352" t="s">
        <v>1216</v>
      </c>
      <c r="I40" s="2353"/>
      <c r="J40" s="1946">
        <v>130000</v>
      </c>
      <c r="K40" s="1604">
        <v>10000</v>
      </c>
      <c r="L40" s="1604">
        <f>I40*9.25%</f>
        <v>0</v>
      </c>
      <c r="M40" s="1634">
        <v>16200</v>
      </c>
      <c r="N40" s="1604">
        <v>0</v>
      </c>
      <c r="O40" s="1635">
        <v>-5000</v>
      </c>
      <c r="P40" s="981">
        <f>SUM(I40:O40)</f>
        <v>151200</v>
      </c>
      <c r="Q40" s="1496"/>
      <c r="R40" s="488"/>
    </row>
    <row r="41" spans="1:22" ht="16.2" x14ac:dyDescent="0.25">
      <c r="A41" s="466"/>
      <c r="B41" s="466"/>
      <c r="C41" s="1492"/>
      <c r="D41" s="1599"/>
      <c r="E41" s="1496" t="s">
        <v>1486</v>
      </c>
      <c r="F41" s="1496" t="s">
        <v>1467</v>
      </c>
      <c r="G41" s="1824" t="s">
        <v>1494</v>
      </c>
      <c r="H41" s="2348" t="s">
        <v>1217</v>
      </c>
      <c r="I41" s="2349"/>
      <c r="J41" s="1947">
        <v>190000</v>
      </c>
      <c r="K41" s="1604">
        <v>12000</v>
      </c>
      <c r="L41" s="1604">
        <f>I41*9.25%</f>
        <v>0</v>
      </c>
      <c r="M41" s="1634">
        <v>24600</v>
      </c>
      <c r="N41" s="1604">
        <v>0</v>
      </c>
      <c r="O41" s="1635">
        <v>9500</v>
      </c>
      <c r="P41" s="981">
        <f>SUM(I41:O41)</f>
        <v>236100</v>
      </c>
      <c r="Q41" s="1496"/>
      <c r="R41" s="481"/>
    </row>
    <row r="42" spans="1:22" ht="16.8" thickBot="1" x14ac:dyDescent="0.3">
      <c r="A42" s="466"/>
      <c r="B42" s="466"/>
      <c r="C42" s="1492"/>
      <c r="D42" s="1599"/>
      <c r="E42" s="1618" t="s">
        <v>103</v>
      </c>
      <c r="F42" s="1618"/>
      <c r="G42" s="1618"/>
      <c r="H42" s="1618"/>
      <c r="I42" s="1355"/>
      <c r="J42" s="1355">
        <f t="shared" ref="J42" si="5">SUM(J38:J41)</f>
        <v>539500</v>
      </c>
      <c r="K42" s="1355">
        <f t="shared" ref="K42:P42" si="6">SUM(K38:K41)</f>
        <v>42000</v>
      </c>
      <c r="L42" s="1355">
        <f t="shared" si="6"/>
        <v>0</v>
      </c>
      <c r="M42" s="1647">
        <f t="shared" si="6"/>
        <v>69800</v>
      </c>
      <c r="N42" s="1355">
        <f t="shared" si="6"/>
        <v>0</v>
      </c>
      <c r="O42" s="1355">
        <f t="shared" si="6"/>
        <v>6500</v>
      </c>
      <c r="P42" s="1355">
        <f t="shared" si="6"/>
        <v>657800</v>
      </c>
      <c r="Q42" s="1496"/>
      <c r="R42" s="481"/>
    </row>
    <row r="43" spans="1:22" ht="5.25" customHeight="1" x14ac:dyDescent="0.25">
      <c r="A43" s="466"/>
      <c r="B43" s="466"/>
      <c r="D43" s="463"/>
      <c r="E43" s="677"/>
      <c r="F43" s="644"/>
      <c r="G43" s="644"/>
      <c r="H43" s="644"/>
      <c r="I43" s="17"/>
      <c r="J43" s="17"/>
      <c r="K43" s="17"/>
      <c r="L43" s="17"/>
      <c r="M43" s="645"/>
      <c r="N43" s="17"/>
      <c r="O43" s="17"/>
      <c r="P43" s="17"/>
      <c r="R43" s="481"/>
    </row>
    <row r="44" spans="1:22" ht="51.75" customHeight="1" x14ac:dyDescent="0.25">
      <c r="A44" s="466"/>
      <c r="B44" s="466"/>
      <c r="C44" s="472"/>
      <c r="D44" s="472"/>
      <c r="E44" s="472"/>
      <c r="F44" s="472"/>
      <c r="G44" s="472"/>
      <c r="H44" s="472"/>
      <c r="I44" s="2359"/>
      <c r="J44" s="2359"/>
      <c r="K44" s="2359"/>
      <c r="L44" s="2359"/>
      <c r="M44" s="2359"/>
      <c r="N44" s="2359"/>
      <c r="O44" s="2359"/>
      <c r="P44" s="2359"/>
      <c r="Q44" s="471"/>
    </row>
    <row r="45" spans="1:22" x14ac:dyDescent="0.25">
      <c r="A45" s="466"/>
      <c r="B45" s="466"/>
      <c r="C45" s="459"/>
      <c r="D45" s="459"/>
      <c r="E45" s="459"/>
      <c r="F45" s="459"/>
      <c r="G45" s="459"/>
      <c r="H45" s="459"/>
      <c r="I45" s="470"/>
      <c r="J45" s="470"/>
      <c r="K45" s="470"/>
      <c r="L45" s="470"/>
    </row>
    <row r="346" ht="11.25" customHeight="1" x14ac:dyDescent="0.25"/>
  </sheetData>
  <mergeCells count="70">
    <mergeCell ref="R1:W2"/>
    <mergeCell ref="H5:J5"/>
    <mergeCell ref="I6:J6"/>
    <mergeCell ref="K6:L6"/>
    <mergeCell ref="M6:N6"/>
    <mergeCell ref="O6:P6"/>
    <mergeCell ref="K7:L7"/>
    <mergeCell ref="M7:N7"/>
    <mergeCell ref="O7:P7"/>
    <mergeCell ref="R7:W11"/>
    <mergeCell ref="I8:J8"/>
    <mergeCell ref="K8:L8"/>
    <mergeCell ref="M8:N8"/>
    <mergeCell ref="O8:P8"/>
    <mergeCell ref="I9:J9"/>
    <mergeCell ref="K9:L9"/>
    <mergeCell ref="I11:J11"/>
    <mergeCell ref="K11:L11"/>
    <mergeCell ref="M11:N11"/>
    <mergeCell ref="O11:P11"/>
    <mergeCell ref="M9:N9"/>
    <mergeCell ref="O9:P9"/>
    <mergeCell ref="I10:J10"/>
    <mergeCell ref="K10:L10"/>
    <mergeCell ref="M10:N10"/>
    <mergeCell ref="O10:P10"/>
    <mergeCell ref="I15:J15"/>
    <mergeCell ref="K15:L15"/>
    <mergeCell ref="M15:N15"/>
    <mergeCell ref="O15:P15"/>
    <mergeCell ref="I12:J12"/>
    <mergeCell ref="K12:L12"/>
    <mergeCell ref="M12:N12"/>
    <mergeCell ref="O12:P12"/>
    <mergeCell ref="M18:N18"/>
    <mergeCell ref="O18:P18"/>
    <mergeCell ref="I16:J16"/>
    <mergeCell ref="K16:L16"/>
    <mergeCell ref="M16:N16"/>
    <mergeCell ref="O16:P16"/>
    <mergeCell ref="I17:J17"/>
    <mergeCell ref="K17:L17"/>
    <mergeCell ref="M17:N17"/>
    <mergeCell ref="O17:P17"/>
    <mergeCell ref="H30:I30"/>
    <mergeCell ref="I44:P44"/>
    <mergeCell ref="R24:V25"/>
    <mergeCell ref="G1:L1"/>
    <mergeCell ref="G2:L2"/>
    <mergeCell ref="M24:N24"/>
    <mergeCell ref="R27:V34"/>
    <mergeCell ref="M37:N37"/>
    <mergeCell ref="I19:J19"/>
    <mergeCell ref="K19:L19"/>
    <mergeCell ref="M19:N19"/>
    <mergeCell ref="O19:P19"/>
    <mergeCell ref="E21:Q21"/>
    <mergeCell ref="E22:Q22"/>
    <mergeCell ref="I18:J18"/>
    <mergeCell ref="K18:L18"/>
    <mergeCell ref="J24:L24"/>
    <mergeCell ref="H25:I25"/>
    <mergeCell ref="H27:I27"/>
    <mergeCell ref="H28:I28"/>
    <mergeCell ref="H29:I29"/>
    <mergeCell ref="H33:I33"/>
    <mergeCell ref="H38:I38"/>
    <mergeCell ref="H39:I39"/>
    <mergeCell ref="H40:I40"/>
    <mergeCell ref="H41:I41"/>
  </mergeCells>
  <hyperlinks>
    <hyperlink ref="R15" r:id="rId1" display="AASB-124-Related-Party-Disclosures-Your-Questions-Answered.docx" xr:uid="{00000000-0004-0000-1600-000000000000}"/>
  </hyperlinks>
  <printOptions horizontalCentered="1"/>
  <pageMargins left="0.31496062992125984" right="0.31496062992125984" top="0.35433070866141736" bottom="0.35433070866141736" header="0.11811023622047245" footer="0.11811023622047245"/>
  <pageSetup paperSize="9" orientation="landscape" r:id="rId2"/>
  <headerFooter>
    <oddFooter>&amp;R&amp;P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Y397"/>
  <sheetViews>
    <sheetView showGridLines="0" view="pageBreakPreview" zoomScaleNormal="85" zoomScaleSheetLayoutView="100" workbookViewId="0">
      <pane ySplit="2" topLeftCell="A3" activePane="bottomLeft" state="frozen"/>
      <selection pane="bottomLeft"/>
    </sheetView>
  </sheetViews>
  <sheetFormatPr defaultColWidth="9" defaultRowHeight="14.4" x14ac:dyDescent="0.25"/>
  <cols>
    <col min="1" max="1" width="9.69921875" style="474" customWidth="1"/>
    <col min="2" max="2" width="7.59765625" style="474" customWidth="1"/>
    <col min="3" max="3" width="1.3984375" style="474" customWidth="1"/>
    <col min="4" max="5" width="3.69921875" style="474" customWidth="1"/>
    <col min="6" max="7" width="10.5" style="474" customWidth="1"/>
    <col min="8" max="8" width="5.8984375" style="474" customWidth="1"/>
    <col min="9" max="9" width="5.19921875" style="474" customWidth="1"/>
    <col min="10" max="17" width="5.8984375" style="474" customWidth="1"/>
    <col min="18" max="18" width="1.59765625" style="474" customWidth="1"/>
    <col min="19" max="19" width="12.5" style="474" customWidth="1"/>
    <col min="20" max="20" width="6.59765625" style="474" customWidth="1"/>
    <col min="21" max="21" width="9.69921875" style="474" customWidth="1"/>
    <col min="22" max="16384" width="9" style="474"/>
  </cols>
  <sheetData>
    <row r="1" spans="1:25" ht="16.5" customHeight="1" x14ac:dyDescent="0.25">
      <c r="A1" s="468" t="s">
        <v>206</v>
      </c>
      <c r="B1" s="468"/>
      <c r="C1" s="464" t="str">
        <f>IF('Merge Details_Printing instr'!$B$11="Insert details here",'Merge Details_Printing instr'!$A$11,'Merge Details_Printing instr'!$B$11)</f>
        <v>Council Name</v>
      </c>
      <c r="H1" s="2361" t="s">
        <v>303</v>
      </c>
      <c r="I1" s="2361"/>
      <c r="J1" s="2361"/>
      <c r="K1" s="2361"/>
      <c r="L1" s="2361"/>
      <c r="M1" s="2361"/>
      <c r="N1" s="2361"/>
      <c r="O1" s="2361"/>
      <c r="P1" s="479"/>
      <c r="Q1" s="479"/>
      <c r="S1" s="2375" t="s">
        <v>1606</v>
      </c>
      <c r="T1" s="2375"/>
      <c r="U1" s="2375"/>
      <c r="V1" s="2375"/>
      <c r="W1" s="2375"/>
      <c r="X1" s="2375"/>
    </row>
    <row r="2" spans="1:25" s="457" customFormat="1" ht="16.5" customHeight="1" x14ac:dyDescent="0.25">
      <c r="A2" s="468" t="s">
        <v>696</v>
      </c>
      <c r="B2" s="468" t="s">
        <v>207</v>
      </c>
      <c r="C2" s="465" t="str">
        <f>'Merge Details_Printing instr'!A12</f>
        <v>2023-2024 Financial Report</v>
      </c>
      <c r="D2" s="460"/>
      <c r="E2" s="480"/>
      <c r="F2" s="460"/>
      <c r="G2" s="460"/>
      <c r="H2" s="2401" t="str">
        <f>+'Merge Details_Printing instr'!A14</f>
        <v>For the Year Ended 30 June 2024</v>
      </c>
      <c r="I2" s="2401"/>
      <c r="J2" s="2401"/>
      <c r="K2" s="2401"/>
      <c r="L2" s="2401"/>
      <c r="M2" s="2401"/>
      <c r="N2" s="2401"/>
      <c r="O2" s="2401"/>
      <c r="P2" s="480"/>
      <c r="Q2" s="480"/>
      <c r="R2" s="460"/>
      <c r="S2" s="2375"/>
      <c r="T2" s="2375"/>
      <c r="U2" s="2375"/>
      <c r="V2" s="2375"/>
      <c r="W2" s="2375"/>
      <c r="X2" s="2375"/>
    </row>
    <row r="3" spans="1:25" x14ac:dyDescent="0.25">
      <c r="A3" s="466" t="s">
        <v>496</v>
      </c>
      <c r="B3" s="467"/>
      <c r="D3" s="1584" t="s">
        <v>286</v>
      </c>
      <c r="E3" s="1499">
        <v>10</v>
      </c>
      <c r="F3" s="1584" t="s">
        <v>1308</v>
      </c>
      <c r="G3" s="1584"/>
      <c r="H3" s="1584"/>
      <c r="I3" s="1584"/>
      <c r="J3" s="1584"/>
      <c r="K3" s="1584"/>
      <c r="L3" s="1584"/>
      <c r="M3" s="1584"/>
      <c r="N3" s="1584"/>
      <c r="O3" s="1584"/>
      <c r="P3" s="1496"/>
      <c r="Q3" s="1496"/>
      <c r="R3" s="1496"/>
      <c r="S3" s="619"/>
      <c r="T3" s="619"/>
      <c r="U3" s="619"/>
      <c r="V3" s="619"/>
      <c r="W3" s="619"/>
      <c r="X3" s="619"/>
      <c r="Y3" s="721"/>
    </row>
    <row r="4" spans="1:25" ht="16.2" x14ac:dyDescent="0.25">
      <c r="A4" s="466"/>
      <c r="B4" s="466"/>
      <c r="D4" s="1584" t="s">
        <v>773</v>
      </c>
      <c r="E4" s="1499">
        <f>'Note 10.1(i)'!D4</f>
        <v>10.1</v>
      </c>
      <c r="F4" s="1584" t="s">
        <v>1565</v>
      </c>
      <c r="G4" s="1638"/>
      <c r="H4" s="1638"/>
      <c r="I4" s="1638"/>
      <c r="J4" s="985"/>
      <c r="K4" s="985"/>
      <c r="L4" s="985"/>
      <c r="M4" s="985"/>
      <c r="N4" s="1648"/>
      <c r="O4" s="985"/>
      <c r="P4" s="985"/>
      <c r="Q4" s="985"/>
      <c r="R4" s="1496"/>
      <c r="S4" s="481"/>
    </row>
    <row r="5" spans="1:25" ht="16.2" x14ac:dyDescent="0.25">
      <c r="A5" s="466"/>
      <c r="B5" s="466"/>
      <c r="D5" s="1496"/>
      <c r="E5" s="1622" t="s">
        <v>1104</v>
      </c>
      <c r="F5" s="1584" t="s">
        <v>1566</v>
      </c>
      <c r="G5" s="1638"/>
      <c r="H5" s="1638"/>
      <c r="I5" s="1638"/>
      <c r="J5" s="985"/>
      <c r="K5" s="985"/>
      <c r="L5" s="985"/>
      <c r="M5" s="985"/>
      <c r="N5" s="1648"/>
      <c r="O5" s="985"/>
      <c r="P5" s="985"/>
      <c r="Q5" s="985"/>
      <c r="R5" s="1496"/>
      <c r="S5" s="481"/>
    </row>
    <row r="6" spans="1:25" ht="35.25" customHeight="1" x14ac:dyDescent="0.25">
      <c r="A6" s="466"/>
      <c r="B6" s="466"/>
      <c r="D6" s="1496"/>
      <c r="E6" s="1599"/>
      <c r="F6" s="2400" t="s">
        <v>1901</v>
      </c>
      <c r="G6" s="2400"/>
      <c r="H6" s="2400"/>
      <c r="I6" s="2400"/>
      <c r="J6" s="2400"/>
      <c r="K6" s="2400"/>
      <c r="L6" s="2400"/>
      <c r="M6" s="2400"/>
      <c r="N6" s="2400"/>
      <c r="O6" s="2400"/>
      <c r="P6" s="2400"/>
      <c r="Q6" s="2400"/>
      <c r="R6" s="2400"/>
      <c r="S6" s="481"/>
    </row>
    <row r="7" spans="1:25" ht="45" customHeight="1" x14ac:dyDescent="0.25">
      <c r="A7" s="466"/>
      <c r="B7" s="466"/>
      <c r="D7" s="1496"/>
      <c r="E7" s="1599"/>
      <c r="F7" s="2317" t="s">
        <v>1967</v>
      </c>
      <c r="G7" s="2317"/>
      <c r="H7" s="2317"/>
      <c r="I7" s="2317"/>
      <c r="J7" s="2317"/>
      <c r="K7" s="2317"/>
      <c r="L7" s="2317"/>
      <c r="M7" s="2317"/>
      <c r="N7" s="2317"/>
      <c r="O7" s="2317"/>
      <c r="P7" s="2317"/>
      <c r="Q7" s="2317"/>
      <c r="R7" s="2317"/>
      <c r="S7" s="481"/>
    </row>
    <row r="8" spans="1:25" ht="44.25" customHeight="1" x14ac:dyDescent="0.25">
      <c r="A8" s="466"/>
      <c r="B8" s="466"/>
      <c r="D8" s="1496"/>
      <c r="E8" s="1649"/>
      <c r="F8" s="2317" t="s">
        <v>1968</v>
      </c>
      <c r="G8" s="2317"/>
      <c r="H8" s="2317"/>
      <c r="I8" s="2317"/>
      <c r="J8" s="2317"/>
      <c r="K8" s="2317"/>
      <c r="L8" s="2317"/>
      <c r="M8" s="2317"/>
      <c r="N8" s="2317"/>
      <c r="O8" s="2317"/>
      <c r="P8" s="2317"/>
      <c r="Q8" s="2317"/>
      <c r="R8" s="2317"/>
      <c r="S8" s="481"/>
    </row>
    <row r="9" spans="1:25" ht="31.5" customHeight="1" x14ac:dyDescent="0.25">
      <c r="A9" s="466"/>
      <c r="B9" s="466"/>
      <c r="D9" s="1496"/>
      <c r="E9" s="1599"/>
      <c r="F9" s="2317" t="s">
        <v>1969</v>
      </c>
      <c r="G9" s="2317"/>
      <c r="H9" s="2317"/>
      <c r="I9" s="2317"/>
      <c r="J9" s="2317"/>
      <c r="K9" s="2317"/>
      <c r="L9" s="2317"/>
      <c r="M9" s="2317"/>
      <c r="N9" s="2317"/>
      <c r="O9" s="2317"/>
      <c r="P9" s="2317"/>
      <c r="Q9" s="2317"/>
      <c r="R9" s="2317"/>
      <c r="S9" s="481"/>
    </row>
    <row r="10" spans="1:25" ht="20.25" customHeight="1" x14ac:dyDescent="0.25">
      <c r="A10" s="466"/>
      <c r="B10" s="466"/>
      <c r="D10" s="1496"/>
      <c r="E10" s="1599"/>
      <c r="F10" s="2317" t="s">
        <v>1970</v>
      </c>
      <c r="G10" s="2317"/>
      <c r="H10" s="2317"/>
      <c r="I10" s="2317"/>
      <c r="J10" s="2317"/>
      <c r="K10" s="2317"/>
      <c r="L10" s="2317"/>
      <c r="M10" s="2317"/>
      <c r="N10" s="2317"/>
      <c r="O10" s="2317"/>
      <c r="P10" s="2317"/>
      <c r="Q10" s="2317"/>
      <c r="R10" s="2317"/>
    </row>
    <row r="11" spans="1:25" ht="48.75" customHeight="1" x14ac:dyDescent="0.25">
      <c r="A11" s="466"/>
      <c r="B11" s="466"/>
      <c r="D11" s="1496"/>
      <c r="E11" s="1599"/>
      <c r="F11" s="2317" t="s">
        <v>1971</v>
      </c>
      <c r="G11" s="2317"/>
      <c r="H11" s="2317"/>
      <c r="I11" s="2317"/>
      <c r="J11" s="2317"/>
      <c r="K11" s="2317"/>
      <c r="L11" s="2317"/>
      <c r="M11" s="2317"/>
      <c r="N11" s="2317"/>
      <c r="O11" s="2317"/>
      <c r="P11" s="2317"/>
      <c r="Q11" s="2317"/>
      <c r="R11" s="2317"/>
    </row>
    <row r="12" spans="1:25" ht="6.75" customHeight="1" x14ac:dyDescent="0.25">
      <c r="A12" s="466"/>
      <c r="B12" s="466"/>
      <c r="D12" s="1496"/>
      <c r="E12" s="1599"/>
      <c r="F12" s="1599"/>
      <c r="G12" s="1599"/>
      <c r="H12" s="1599"/>
      <c r="I12" s="1599"/>
      <c r="J12" s="1207"/>
      <c r="K12" s="1493"/>
      <c r="L12" s="1493"/>
      <c r="M12" s="1493"/>
      <c r="N12" s="1619"/>
      <c r="O12" s="1620"/>
      <c r="P12" s="1621"/>
      <c r="Q12" s="1621"/>
      <c r="R12" s="1496"/>
    </row>
    <row r="13" spans="1:25" ht="23.25" customHeight="1" x14ac:dyDescent="0.25">
      <c r="A13" s="466"/>
      <c r="B13" s="466"/>
      <c r="D13" s="1496"/>
      <c r="E13" s="1599" t="s">
        <v>1609</v>
      </c>
      <c r="F13" s="1650" t="s">
        <v>1164</v>
      </c>
      <c r="G13" s="1650"/>
      <c r="H13" s="1650"/>
      <c r="I13" s="1650"/>
      <c r="J13" s="1496"/>
      <c r="K13" s="1496"/>
      <c r="L13" s="1651"/>
      <c r="M13" s="1496"/>
      <c r="N13" s="1496"/>
      <c r="O13" s="1496"/>
      <c r="P13" s="1496"/>
      <c r="Q13" s="1496"/>
      <c r="R13" s="1496"/>
    </row>
    <row r="14" spans="1:25" ht="32.25" customHeight="1" x14ac:dyDescent="0.25">
      <c r="A14" s="466"/>
      <c r="B14" s="466"/>
      <c r="D14" s="1496"/>
      <c r="E14" s="1599"/>
      <c r="F14" s="2397" t="s">
        <v>1108</v>
      </c>
      <c r="G14" s="2397"/>
      <c r="H14" s="2397"/>
      <c r="I14" s="2397"/>
      <c r="J14" s="2397"/>
      <c r="K14" s="2397"/>
      <c r="L14" s="2397"/>
      <c r="M14" s="2397"/>
      <c r="N14" s="2397"/>
      <c r="O14" s="2397"/>
      <c r="P14" s="2397"/>
      <c r="Q14" s="2397"/>
      <c r="R14" s="2397"/>
    </row>
    <row r="15" spans="1:25" x14ac:dyDescent="0.25">
      <c r="A15" s="466"/>
      <c r="B15" s="466"/>
      <c r="D15" s="1496"/>
      <c r="E15" s="1599"/>
      <c r="F15" s="1652" t="s">
        <v>203</v>
      </c>
      <c r="G15" s="1652"/>
      <c r="H15" s="1652"/>
      <c r="I15" s="1652"/>
      <c r="J15" s="1653"/>
      <c r="K15" s="1653"/>
      <c r="L15" s="2398"/>
      <c r="M15" s="2398"/>
      <c r="N15" s="2398"/>
      <c r="O15" s="2398"/>
      <c r="P15" s="2398"/>
      <c r="Q15" s="2398"/>
      <c r="R15" s="2398"/>
    </row>
    <row r="16" spans="1:25" ht="8.4" customHeight="1" x14ac:dyDescent="0.25">
      <c r="A16" s="466"/>
      <c r="B16" s="466"/>
      <c r="D16" s="1496"/>
      <c r="E16" s="1599"/>
      <c r="F16" s="2399"/>
      <c r="G16" s="2399"/>
      <c r="H16" s="2399"/>
      <c r="I16" s="2399"/>
      <c r="J16" s="2399"/>
      <c r="K16" s="2399"/>
      <c r="L16" s="2399"/>
      <c r="M16" s="2399"/>
      <c r="N16" s="2399"/>
      <c r="O16" s="2399"/>
      <c r="P16" s="2399"/>
      <c r="Q16" s="2399"/>
      <c r="R16" s="2399"/>
    </row>
    <row r="17" spans="1:18" x14ac:dyDescent="0.25">
      <c r="A17" s="466"/>
      <c r="B17" s="466"/>
      <c r="D17" s="1496"/>
      <c r="E17" s="1599"/>
      <c r="F17" s="1651" t="s">
        <v>1112</v>
      </c>
      <c r="G17" s="1651"/>
      <c r="H17" s="1651"/>
      <c r="I17" s="1651"/>
      <c r="J17" s="1588"/>
      <c r="K17" s="1588"/>
      <c r="L17" s="1588"/>
      <c r="M17" s="1588"/>
      <c r="N17" s="1588"/>
      <c r="O17" s="1588"/>
      <c r="P17" s="1588"/>
      <c r="Q17" s="1588"/>
      <c r="R17" s="1588"/>
    </row>
    <row r="18" spans="1:18" ht="22.5" customHeight="1" x14ac:dyDescent="0.25">
      <c r="A18" s="466"/>
      <c r="B18" s="466"/>
      <c r="D18" s="1496"/>
      <c r="E18" s="1599"/>
      <c r="F18" s="2399" t="s">
        <v>1113</v>
      </c>
      <c r="G18" s="2399"/>
      <c r="H18" s="2399"/>
      <c r="I18" s="2399"/>
      <c r="J18" s="2399"/>
      <c r="K18" s="2399"/>
      <c r="L18" s="2399"/>
      <c r="M18" s="2399"/>
      <c r="N18" s="2399"/>
      <c r="O18" s="2399"/>
      <c r="P18" s="2399"/>
      <c r="Q18" s="2399"/>
      <c r="R18" s="2399"/>
    </row>
    <row r="19" spans="1:18" ht="49.2" customHeight="1" x14ac:dyDescent="0.25">
      <c r="A19" s="466"/>
      <c r="B19" s="466"/>
      <c r="D19" s="1496"/>
      <c r="E19" s="1599"/>
      <c r="F19" s="2399" t="s">
        <v>1218</v>
      </c>
      <c r="G19" s="2399"/>
      <c r="H19" s="2399"/>
      <c r="I19" s="2399"/>
      <c r="J19" s="2399"/>
      <c r="K19" s="2399"/>
      <c r="L19" s="2399"/>
      <c r="M19" s="2399"/>
      <c r="N19" s="2399"/>
      <c r="O19" s="2399"/>
      <c r="P19" s="2399"/>
      <c r="Q19" s="2399"/>
      <c r="R19" s="2399"/>
    </row>
    <row r="20" spans="1:18" ht="64.5" customHeight="1" x14ac:dyDescent="0.25">
      <c r="A20" s="466"/>
      <c r="B20" s="466"/>
      <c r="D20" s="1496"/>
      <c r="E20" s="1599"/>
      <c r="F20" s="2391" t="s">
        <v>1114</v>
      </c>
      <c r="G20" s="2391"/>
      <c r="H20" s="2391"/>
      <c r="I20" s="2391"/>
      <c r="J20" s="2391"/>
      <c r="K20" s="2391"/>
      <c r="L20" s="2391"/>
      <c r="M20" s="2391"/>
      <c r="N20" s="2391"/>
      <c r="O20" s="2391"/>
      <c r="P20" s="2391"/>
      <c r="Q20" s="2391"/>
      <c r="R20" s="2391"/>
    </row>
    <row r="21" spans="1:18" ht="6" customHeight="1" x14ac:dyDescent="0.25">
      <c r="A21" s="466"/>
      <c r="B21" s="466"/>
      <c r="D21" s="1496"/>
      <c r="E21" s="1599"/>
      <c r="F21" s="1588"/>
      <c r="G21" s="1588"/>
      <c r="H21" s="1588"/>
      <c r="I21" s="1588"/>
      <c r="J21" s="1588"/>
      <c r="K21" s="1588"/>
      <c r="L21" s="1588"/>
      <c r="M21" s="1588"/>
      <c r="N21" s="1588"/>
      <c r="O21" s="1588"/>
      <c r="P21" s="1588"/>
      <c r="Q21" s="1588"/>
      <c r="R21" s="1588"/>
    </row>
    <row r="22" spans="1:18" x14ac:dyDescent="0.25">
      <c r="A22" s="466"/>
      <c r="B22" s="466"/>
      <c r="D22" s="1496"/>
      <c r="E22" s="1649"/>
      <c r="F22" s="1650" t="s">
        <v>1109</v>
      </c>
      <c r="G22" s="1650"/>
      <c r="H22" s="1650"/>
      <c r="I22" s="1650"/>
      <c r="J22" s="1496"/>
      <c r="K22" s="1496"/>
      <c r="L22" s="1654"/>
      <c r="M22" s="1654"/>
      <c r="N22" s="1654"/>
      <c r="O22" s="1654"/>
      <c r="P22" s="1654"/>
      <c r="Q22" s="1654"/>
      <c r="R22" s="1654"/>
    </row>
    <row r="23" spans="1:18" x14ac:dyDescent="0.25">
      <c r="A23" s="466"/>
      <c r="B23" s="466"/>
      <c r="D23" s="1496"/>
      <c r="E23" s="1649"/>
      <c r="F23" s="1496" t="s">
        <v>1115</v>
      </c>
      <c r="G23" s="1496"/>
      <c r="H23" s="1496"/>
      <c r="I23" s="1496"/>
      <c r="J23" s="1496"/>
      <c r="K23" s="1496"/>
      <c r="L23" s="1496"/>
      <c r="M23" s="1496"/>
      <c r="N23" s="1496"/>
      <c r="O23" s="1496"/>
      <c r="P23" s="1496"/>
      <c r="Q23" s="1496"/>
      <c r="R23" s="1496"/>
    </row>
    <row r="24" spans="1:18" x14ac:dyDescent="0.25">
      <c r="A24" s="466"/>
      <c r="B24" s="466"/>
      <c r="D24" s="1496"/>
      <c r="E24" s="1649"/>
      <c r="F24" s="1655" t="s">
        <v>1110</v>
      </c>
      <c r="G24" s="1655"/>
      <c r="H24" s="1655"/>
      <c r="I24" s="1655"/>
      <c r="J24" s="1496"/>
      <c r="K24" s="1496"/>
      <c r="L24" s="1496"/>
      <c r="M24" s="1496"/>
      <c r="N24" s="1496"/>
      <c r="O24" s="1496"/>
      <c r="P24" s="1496"/>
      <c r="Q24" s="1496"/>
      <c r="R24" s="1496"/>
    </row>
    <row r="25" spans="1:18" x14ac:dyDescent="0.25">
      <c r="A25" s="466"/>
      <c r="B25" s="466"/>
      <c r="D25" s="1496"/>
      <c r="E25" s="1649"/>
      <c r="F25" s="1496" t="s">
        <v>1396</v>
      </c>
      <c r="G25" s="1496"/>
      <c r="H25" s="1496"/>
      <c r="I25" s="1496"/>
      <c r="J25" s="1496"/>
      <c r="K25" s="1496"/>
      <c r="L25" s="1496"/>
      <c r="M25" s="1496"/>
      <c r="N25" s="1496"/>
      <c r="O25" s="1496"/>
      <c r="P25" s="1496"/>
      <c r="Q25" s="1496"/>
      <c r="R25" s="1496"/>
    </row>
    <row r="26" spans="1:18" ht="16.5" customHeight="1" x14ac:dyDescent="0.25">
      <c r="A26" s="466"/>
      <c r="B26" s="466"/>
      <c r="D26" s="1496"/>
      <c r="E26" s="1649"/>
      <c r="F26" s="1656" t="s">
        <v>266</v>
      </c>
      <c r="G26" s="2377" t="s">
        <v>1491</v>
      </c>
      <c r="H26" s="2377"/>
      <c r="I26" s="2377"/>
      <c r="J26" s="2377"/>
      <c r="K26" s="2377"/>
      <c r="L26" s="2377"/>
      <c r="M26" s="2377"/>
      <c r="N26" s="2377"/>
      <c r="O26" s="2377"/>
      <c r="P26" s="2377"/>
      <c r="Q26" s="2377"/>
      <c r="R26" s="1496"/>
    </row>
    <row r="27" spans="1:18" ht="6" customHeight="1" x14ac:dyDescent="0.25">
      <c r="A27" s="466"/>
      <c r="B27" s="466"/>
      <c r="D27" s="1496"/>
      <c r="E27" s="1649"/>
      <c r="F27" s="1496"/>
      <c r="G27" s="1496"/>
      <c r="H27" s="1496"/>
      <c r="I27" s="1496"/>
      <c r="J27" s="1496"/>
      <c r="K27" s="1496"/>
      <c r="L27" s="1496"/>
      <c r="M27" s="1496"/>
      <c r="N27" s="1496"/>
      <c r="O27" s="1496"/>
      <c r="P27" s="1496"/>
      <c r="Q27" s="1496"/>
      <c r="R27" s="1496"/>
    </row>
    <row r="28" spans="1:18" x14ac:dyDescent="0.25">
      <c r="A28" s="466"/>
      <c r="B28" s="466"/>
      <c r="D28" s="1496"/>
      <c r="E28" s="1649"/>
      <c r="F28" s="1650" t="s">
        <v>1105</v>
      </c>
      <c r="G28" s="1650"/>
      <c r="H28" s="1650"/>
      <c r="I28" s="1650"/>
      <c r="J28" s="1496"/>
      <c r="K28" s="1496"/>
      <c r="L28" s="1496"/>
      <c r="M28" s="1496"/>
      <c r="N28" s="1496"/>
      <c r="O28" s="1496"/>
      <c r="P28" s="1496"/>
      <c r="Q28" s="1496"/>
      <c r="R28" s="1496"/>
    </row>
    <row r="29" spans="1:18" x14ac:dyDescent="0.25">
      <c r="A29" s="466"/>
      <c r="B29" s="466"/>
      <c r="D29" s="1496"/>
      <c r="E29" s="1649"/>
      <c r="F29" s="1496" t="s">
        <v>1111</v>
      </c>
      <c r="G29" s="1496"/>
      <c r="H29" s="1496"/>
      <c r="I29" s="1496"/>
      <c r="J29" s="1496"/>
      <c r="K29" s="1496"/>
      <c r="L29" s="1496"/>
      <c r="M29" s="1496"/>
      <c r="N29" s="1496"/>
      <c r="O29" s="1496"/>
      <c r="P29" s="1496"/>
      <c r="Q29" s="1496"/>
      <c r="R29" s="1496"/>
    </row>
    <row r="30" spans="1:18" ht="42" customHeight="1" x14ac:dyDescent="0.25">
      <c r="A30" s="466"/>
      <c r="B30" s="466"/>
      <c r="D30" s="1496"/>
      <c r="E30" s="1649"/>
      <c r="F30" s="1656" t="s">
        <v>266</v>
      </c>
      <c r="G30" s="2377" t="s">
        <v>1744</v>
      </c>
      <c r="H30" s="2377"/>
      <c r="I30" s="2377"/>
      <c r="J30" s="2377"/>
      <c r="K30" s="2377"/>
      <c r="L30" s="2377"/>
      <c r="M30" s="2377"/>
      <c r="N30" s="2377"/>
      <c r="O30" s="2377"/>
      <c r="P30" s="2377"/>
      <c r="Q30" s="2377"/>
      <c r="R30" s="1496"/>
    </row>
    <row r="31" spans="1:18" ht="6.75" customHeight="1" x14ac:dyDescent="0.25">
      <c r="A31" s="333"/>
      <c r="B31" s="333"/>
      <c r="D31" s="1496"/>
      <c r="E31" s="1649"/>
      <c r="F31" s="1656"/>
      <c r="G31" s="1656"/>
      <c r="H31" s="1656"/>
      <c r="I31" s="1657"/>
      <c r="J31" s="1657"/>
      <c r="K31" s="1657"/>
      <c r="L31" s="1657"/>
      <c r="M31" s="1657"/>
      <c r="N31" s="1657"/>
      <c r="O31" s="1657"/>
      <c r="P31" s="1657"/>
      <c r="Q31" s="1657"/>
      <c r="R31" s="1496"/>
    </row>
    <row r="32" spans="1:18" x14ac:dyDescent="0.25">
      <c r="A32" s="333"/>
      <c r="B32" s="333"/>
      <c r="D32" s="1496"/>
      <c r="E32" s="1649"/>
      <c r="F32" s="1650" t="s">
        <v>1929</v>
      </c>
      <c r="G32" s="1656"/>
      <c r="H32" s="1656"/>
      <c r="I32" s="1657"/>
      <c r="J32" s="1657"/>
      <c r="K32" s="1657"/>
      <c r="L32" s="1657"/>
      <c r="M32" s="1657"/>
      <c r="N32" s="1657"/>
      <c r="O32" s="1657"/>
      <c r="P32" s="1657"/>
      <c r="Q32" s="1657"/>
      <c r="R32" s="1496"/>
    </row>
    <row r="33" spans="1:18" x14ac:dyDescent="0.25">
      <c r="A33" s="333"/>
      <c r="B33" s="333"/>
      <c r="D33" s="1496"/>
      <c r="E33" s="1649"/>
      <c r="F33" s="2317" t="s">
        <v>1792</v>
      </c>
      <c r="G33" s="2317"/>
      <c r="H33" s="2317"/>
      <c r="I33" s="2317"/>
      <c r="J33" s="2317"/>
      <c r="K33" s="2317"/>
      <c r="L33" s="2317"/>
      <c r="M33" s="2317"/>
      <c r="N33" s="2317"/>
      <c r="O33" s="2317"/>
      <c r="P33" s="2317"/>
      <c r="Q33" s="2317"/>
      <c r="R33" s="2317"/>
    </row>
    <row r="34" spans="1:18" ht="31.5" customHeight="1" x14ac:dyDescent="0.25">
      <c r="A34" s="333"/>
      <c r="B34" s="333"/>
      <c r="D34" s="1496"/>
      <c r="E34" s="1649"/>
      <c r="F34" s="2317" t="s">
        <v>1487</v>
      </c>
      <c r="G34" s="2317"/>
      <c r="H34" s="2317"/>
      <c r="I34" s="2317"/>
      <c r="J34" s="2317"/>
      <c r="K34" s="2317"/>
      <c r="L34" s="2317"/>
      <c r="M34" s="2317"/>
      <c r="N34" s="2317"/>
      <c r="O34" s="2317"/>
      <c r="P34" s="2317"/>
      <c r="Q34" s="2317"/>
      <c r="R34" s="2317"/>
    </row>
    <row r="35" spans="1:18" x14ac:dyDescent="0.25">
      <c r="A35" s="333"/>
      <c r="B35" s="333"/>
      <c r="D35" s="1496"/>
      <c r="E35" s="1649"/>
      <c r="F35" s="2378" t="s">
        <v>1743</v>
      </c>
      <c r="G35" s="2378"/>
      <c r="H35" s="2378"/>
      <c r="I35" s="2378"/>
      <c r="J35" s="2378"/>
      <c r="K35" s="2378"/>
      <c r="L35" s="2378"/>
      <c r="M35" s="2378"/>
      <c r="N35" s="2378"/>
      <c r="O35" s="2378"/>
      <c r="P35" s="2378"/>
      <c r="Q35" s="2378"/>
      <c r="R35" s="2378"/>
    </row>
    <row r="36" spans="1:18" ht="30" customHeight="1" x14ac:dyDescent="0.25">
      <c r="A36" s="333"/>
      <c r="B36" s="333"/>
      <c r="D36" s="1496"/>
      <c r="E36" s="1649"/>
      <c r="F36" s="2378" t="s">
        <v>1488</v>
      </c>
      <c r="G36" s="2378"/>
      <c r="H36" s="2378"/>
      <c r="I36" s="2378"/>
      <c r="J36" s="2378"/>
      <c r="K36" s="2378"/>
      <c r="L36" s="2378"/>
      <c r="M36" s="2378"/>
      <c r="N36" s="2378"/>
      <c r="O36" s="2378"/>
      <c r="P36" s="2378"/>
      <c r="Q36" s="2378"/>
      <c r="R36" s="2378"/>
    </row>
    <row r="37" spans="1:18" ht="27.75" customHeight="1" x14ac:dyDescent="0.25">
      <c r="A37" s="333"/>
      <c r="B37" s="333"/>
      <c r="D37" s="1496"/>
      <c r="E37" s="1649"/>
      <c r="F37" s="2378" t="s">
        <v>1489</v>
      </c>
      <c r="G37" s="2378"/>
      <c r="H37" s="2378"/>
      <c r="I37" s="2378"/>
      <c r="J37" s="2378"/>
      <c r="K37" s="2378"/>
      <c r="L37" s="2378"/>
      <c r="M37" s="2378"/>
      <c r="N37" s="2378"/>
      <c r="O37" s="2378"/>
      <c r="P37" s="2378"/>
      <c r="Q37" s="2378"/>
      <c r="R37" s="1655"/>
    </row>
    <row r="38" spans="1:18" ht="5.25" customHeight="1" x14ac:dyDescent="0.25">
      <c r="A38" s="466"/>
      <c r="B38" s="466"/>
      <c r="D38" s="1496"/>
      <c r="E38" s="1599"/>
      <c r="F38" s="1599"/>
      <c r="G38" s="1599"/>
      <c r="H38" s="1599"/>
      <c r="I38" s="1599"/>
      <c r="J38" s="1207"/>
      <c r="K38" s="1493"/>
      <c r="L38" s="1493"/>
      <c r="M38" s="1493"/>
      <c r="N38" s="1619"/>
      <c r="O38" s="1620"/>
      <c r="P38" s="1621"/>
      <c r="Q38" s="1621"/>
      <c r="R38" s="1496"/>
    </row>
    <row r="39" spans="1:18" ht="16.5" customHeight="1" x14ac:dyDescent="0.25">
      <c r="A39" s="466"/>
      <c r="B39" s="466"/>
      <c r="D39" s="1496"/>
      <c r="E39" s="1622" t="s">
        <v>1610</v>
      </c>
      <c r="F39" s="1356" t="s">
        <v>1271</v>
      </c>
      <c r="G39" s="1356"/>
      <c r="H39" s="1356"/>
      <c r="I39" s="1356"/>
      <c r="J39" s="1356"/>
      <c r="K39" s="1549"/>
      <c r="L39" s="1549"/>
      <c r="M39" s="1549"/>
      <c r="N39" s="1549"/>
      <c r="O39" s="1549"/>
      <c r="P39" s="1549"/>
      <c r="Q39" s="1549"/>
      <c r="R39" s="1496"/>
    </row>
    <row r="40" spans="1:18" x14ac:dyDescent="0.25">
      <c r="A40" s="466"/>
      <c r="B40" s="466"/>
      <c r="D40" s="1496"/>
      <c r="E40" s="1598"/>
      <c r="F40" s="2391" t="s">
        <v>1725</v>
      </c>
      <c r="G40" s="2391"/>
      <c r="H40" s="2391"/>
      <c r="I40" s="2391"/>
      <c r="J40" s="2391"/>
      <c r="K40" s="2391"/>
      <c r="L40" s="2391"/>
      <c r="M40" s="2391"/>
      <c r="N40" s="2391"/>
      <c r="O40" s="2391"/>
      <c r="P40" s="2391"/>
      <c r="Q40" s="2391"/>
      <c r="R40" s="2391"/>
    </row>
    <row r="41" spans="1:18" ht="6" customHeight="1" x14ac:dyDescent="0.25">
      <c r="A41" s="466"/>
      <c r="B41" s="466"/>
      <c r="D41" s="1496"/>
      <c r="E41" s="1598"/>
      <c r="F41" s="1658"/>
      <c r="G41" s="1658"/>
      <c r="H41" s="1658"/>
      <c r="I41" s="1658"/>
      <c r="J41" s="1658"/>
      <c r="K41" s="1658"/>
      <c r="L41" s="1658"/>
      <c r="M41" s="1658"/>
      <c r="N41" s="1658"/>
      <c r="O41" s="1658"/>
      <c r="P41" s="1658"/>
      <c r="Q41" s="1658"/>
      <c r="R41" s="1496"/>
    </row>
    <row r="42" spans="1:18" x14ac:dyDescent="0.25">
      <c r="A42" s="466"/>
      <c r="B42" s="719" t="s">
        <v>1282</v>
      </c>
      <c r="D42" s="1496"/>
      <c r="E42" s="1598"/>
      <c r="F42" s="1356" t="s">
        <v>1272</v>
      </c>
      <c r="G42" s="1356"/>
      <c r="H42" s="1356"/>
      <c r="I42" s="1658"/>
      <c r="J42" s="1658"/>
      <c r="K42" s="1658"/>
      <c r="L42" s="1658"/>
      <c r="M42" s="1658"/>
      <c r="N42" s="1658"/>
      <c r="O42" s="1658"/>
      <c r="P42" s="1658"/>
      <c r="Q42" s="1658"/>
      <c r="R42" s="1496"/>
    </row>
    <row r="43" spans="1:18" x14ac:dyDescent="0.25">
      <c r="A43" s="466"/>
      <c r="B43" s="509">
        <v>24</v>
      </c>
      <c r="D43" s="1496"/>
      <c r="E43" s="1598"/>
      <c r="F43" s="2391" t="s">
        <v>1902</v>
      </c>
      <c r="G43" s="2391"/>
      <c r="H43" s="2391"/>
      <c r="I43" s="2391"/>
      <c r="J43" s="2391"/>
      <c r="K43" s="2391"/>
      <c r="L43" s="2391"/>
      <c r="M43" s="2391"/>
      <c r="N43" s="2391"/>
      <c r="O43" s="2391"/>
      <c r="P43" s="2391"/>
      <c r="Q43" s="2391"/>
      <c r="R43" s="2391"/>
    </row>
    <row r="44" spans="1:18" ht="6" customHeight="1" x14ac:dyDescent="0.25">
      <c r="A44" s="466"/>
      <c r="D44" s="1496"/>
      <c r="E44" s="1598"/>
      <c r="F44" s="1659"/>
      <c r="G44" s="1659"/>
      <c r="H44" s="1659"/>
      <c r="I44" s="1659"/>
      <c r="J44" s="1659"/>
      <c r="K44" s="1659"/>
      <c r="L44" s="1659"/>
      <c r="M44" s="1659"/>
      <c r="N44" s="1659"/>
      <c r="O44" s="1659"/>
      <c r="P44" s="1659"/>
      <c r="Q44" s="1659"/>
      <c r="R44" s="1659"/>
    </row>
    <row r="45" spans="1:18" ht="16.5" customHeight="1" x14ac:dyDescent="0.25">
      <c r="A45" s="466"/>
      <c r="D45" s="1496"/>
      <c r="E45" s="1598"/>
      <c r="F45" s="1660" t="s">
        <v>1275</v>
      </c>
      <c r="G45" s="1660"/>
      <c r="H45" s="1660"/>
      <c r="I45" s="1660"/>
      <c r="J45" s="1660"/>
      <c r="K45" s="1660"/>
      <c r="L45" s="1660"/>
      <c r="M45" s="1660"/>
      <c r="N45" s="1660"/>
      <c r="O45" s="1660"/>
      <c r="P45" s="1660"/>
      <c r="Q45" s="1660"/>
      <c r="R45" s="1661"/>
    </row>
    <row r="46" spans="1:18" ht="27.75" customHeight="1" x14ac:dyDescent="0.25">
      <c r="A46" s="466"/>
      <c r="B46" s="466"/>
      <c r="D46" s="1496"/>
      <c r="E46" s="1598"/>
      <c r="F46" s="1662" t="s">
        <v>1276</v>
      </c>
      <c r="G46" s="1663"/>
      <c r="H46" s="1663"/>
      <c r="I46" s="2392" t="s">
        <v>1280</v>
      </c>
      <c r="J46" s="2393"/>
      <c r="K46" s="2394" t="s">
        <v>1277</v>
      </c>
      <c r="L46" s="2395"/>
      <c r="M46" s="2395"/>
      <c r="N46" s="2395"/>
      <c r="O46" s="2395"/>
      <c r="P46" s="2395"/>
      <c r="Q46" s="2396"/>
      <c r="R46" s="1496"/>
    </row>
    <row r="47" spans="1:18" ht="31.5" customHeight="1" x14ac:dyDescent="0.25">
      <c r="A47" s="466"/>
      <c r="B47" s="466"/>
      <c r="D47" s="1496"/>
      <c r="E47" s="1598"/>
      <c r="F47" s="1664"/>
      <c r="G47" s="1665"/>
      <c r="H47" s="1665"/>
      <c r="I47" s="1666"/>
      <c r="J47" s="1667"/>
      <c r="K47" s="2394" t="s">
        <v>1278</v>
      </c>
      <c r="L47" s="2396"/>
      <c r="M47" s="2394" t="s">
        <v>1279</v>
      </c>
      <c r="N47" s="2395"/>
      <c r="O47" s="2396"/>
      <c r="P47" s="2394" t="s">
        <v>102</v>
      </c>
      <c r="Q47" s="2396"/>
      <c r="R47" s="1496"/>
    </row>
    <row r="48" spans="1:18" ht="15" customHeight="1" x14ac:dyDescent="0.25">
      <c r="A48" s="466"/>
      <c r="B48" s="466"/>
      <c r="D48" s="1496"/>
      <c r="E48" s="1598"/>
      <c r="F48" s="1668" t="s">
        <v>1013</v>
      </c>
      <c r="G48" s="1669"/>
      <c r="H48" s="1669"/>
      <c r="I48" s="1670"/>
      <c r="J48" s="1671"/>
      <c r="K48" s="1670"/>
      <c r="L48" s="1671"/>
      <c r="M48" s="1668"/>
      <c r="N48" s="1669"/>
      <c r="O48" s="1672"/>
      <c r="P48" s="1669"/>
      <c r="Q48" s="1673"/>
      <c r="R48" s="1496"/>
    </row>
    <row r="49" spans="1:18" ht="15" customHeight="1" x14ac:dyDescent="0.25">
      <c r="A49" s="466"/>
      <c r="B49" s="466"/>
      <c r="D49" s="1496"/>
      <c r="E49" s="1598"/>
      <c r="F49" s="1664" t="s">
        <v>1014</v>
      </c>
      <c r="G49" s="1665"/>
      <c r="H49" s="1665"/>
      <c r="I49" s="1664"/>
      <c r="J49" s="1665"/>
      <c r="K49" s="1664"/>
      <c r="L49" s="1665"/>
      <c r="M49" s="1664"/>
      <c r="N49" s="1665"/>
      <c r="O49" s="1674"/>
      <c r="P49" s="1665"/>
      <c r="Q49" s="1675"/>
      <c r="R49" s="1496"/>
    </row>
    <row r="50" spans="1:18" ht="6" customHeight="1" x14ac:dyDescent="0.25">
      <c r="A50" s="466"/>
      <c r="B50" s="466"/>
      <c r="D50" s="1496"/>
      <c r="E50" s="1598"/>
      <c r="F50" s="1659"/>
      <c r="G50" s="1659"/>
      <c r="H50" s="1659"/>
      <c r="I50" s="1659"/>
      <c r="J50" s="1659"/>
      <c r="K50" s="1659"/>
      <c r="L50" s="1659"/>
      <c r="M50" s="1659"/>
      <c r="N50" s="1659"/>
      <c r="O50" s="1659"/>
      <c r="P50" s="1659"/>
      <c r="Q50" s="1659"/>
      <c r="R50" s="1659"/>
    </row>
    <row r="51" spans="1:18" x14ac:dyDescent="0.25">
      <c r="A51" s="466"/>
      <c r="B51" s="719" t="s">
        <v>1283</v>
      </c>
      <c r="D51" s="1496"/>
      <c r="E51" s="1598"/>
      <c r="F51" s="1356" t="s">
        <v>1273</v>
      </c>
      <c r="G51" s="1356"/>
      <c r="H51" s="1356"/>
      <c r="I51" s="1659"/>
      <c r="J51" s="1659"/>
      <c r="K51" s="1659"/>
      <c r="L51" s="1659"/>
      <c r="M51" s="1659"/>
      <c r="N51" s="1659"/>
      <c r="O51" s="1659"/>
      <c r="P51" s="1659"/>
      <c r="Q51" s="1659"/>
      <c r="R51" s="1659"/>
    </row>
    <row r="52" spans="1:18" x14ac:dyDescent="0.25">
      <c r="A52" s="466"/>
      <c r="B52" s="466">
        <v>24</v>
      </c>
      <c r="D52" s="1496"/>
      <c r="E52" s="1598"/>
      <c r="F52" s="1661" t="s">
        <v>1275</v>
      </c>
      <c r="G52" s="1661"/>
      <c r="H52" s="1661"/>
      <c r="I52" s="1658"/>
      <c r="J52" s="1658"/>
      <c r="K52" s="1658"/>
      <c r="L52" s="1658"/>
      <c r="M52" s="1658"/>
      <c r="N52" s="1658"/>
      <c r="O52" s="1658"/>
      <c r="P52" s="1658"/>
      <c r="Q52" s="1658"/>
      <c r="R52" s="1496"/>
    </row>
    <row r="53" spans="1:18" x14ac:dyDescent="0.25">
      <c r="A53" s="466"/>
      <c r="B53" s="466"/>
      <c r="D53" s="1496"/>
      <c r="E53" s="1598"/>
      <c r="F53" s="2379" t="s">
        <v>1397</v>
      </c>
      <c r="G53" s="2379"/>
      <c r="H53" s="2379"/>
      <c r="I53" s="2379"/>
      <c r="J53" s="2379"/>
      <c r="K53" s="2379"/>
      <c r="L53" s="2379"/>
      <c r="M53" s="2379"/>
      <c r="N53" s="2379"/>
      <c r="O53" s="2379"/>
      <c r="P53" s="2379"/>
      <c r="Q53" s="2379"/>
      <c r="R53" s="2379"/>
    </row>
    <row r="54" spans="1:18" x14ac:dyDescent="0.25">
      <c r="A54" s="466"/>
      <c r="B54" s="719" t="s">
        <v>1284</v>
      </c>
      <c r="D54" s="1496"/>
      <c r="E54" s="1598"/>
      <c r="F54" s="1676" t="s">
        <v>1274</v>
      </c>
      <c r="G54" s="1676"/>
      <c r="H54" s="1676"/>
      <c r="I54" s="1658"/>
      <c r="J54" s="1658"/>
      <c r="K54" s="1658"/>
      <c r="L54" s="1658"/>
      <c r="M54" s="1658"/>
      <c r="N54" s="1658"/>
      <c r="O54" s="1658"/>
      <c r="P54" s="1658"/>
      <c r="Q54" s="1658"/>
      <c r="R54" s="1496"/>
    </row>
    <row r="55" spans="1:18" x14ac:dyDescent="0.25">
      <c r="A55" s="466"/>
      <c r="B55" s="466">
        <v>24</v>
      </c>
      <c r="D55" s="1496"/>
      <c r="E55" s="1598"/>
      <c r="F55" s="1661" t="s">
        <v>1275</v>
      </c>
      <c r="G55" s="1661"/>
      <c r="H55" s="1661"/>
      <c r="I55" s="1658"/>
      <c r="J55" s="1658"/>
      <c r="K55" s="1658"/>
      <c r="L55" s="1658"/>
      <c r="M55" s="1658"/>
      <c r="N55" s="1658"/>
      <c r="O55" s="1658"/>
      <c r="P55" s="1658"/>
      <c r="Q55" s="1658"/>
      <c r="R55" s="1496"/>
    </row>
    <row r="56" spans="1:18" x14ac:dyDescent="0.25">
      <c r="A56" s="466"/>
      <c r="B56" s="466"/>
      <c r="D56" s="1496"/>
      <c r="E56" s="1598"/>
      <c r="F56" s="2379" t="s">
        <v>1397</v>
      </c>
      <c r="G56" s="2379"/>
      <c r="H56" s="2379"/>
      <c r="I56" s="2379"/>
      <c r="J56" s="2379"/>
      <c r="K56" s="2379"/>
      <c r="L56" s="2379"/>
      <c r="M56" s="2379"/>
      <c r="N56" s="2379"/>
      <c r="O56" s="2379"/>
      <c r="P56" s="2379"/>
      <c r="Q56" s="2379"/>
      <c r="R56" s="2379"/>
    </row>
    <row r="57" spans="1:18" x14ac:dyDescent="0.25">
      <c r="A57" s="466"/>
      <c r="B57" s="466"/>
      <c r="D57" s="1496"/>
      <c r="E57" s="1598"/>
      <c r="F57" s="1549"/>
      <c r="G57" s="1549"/>
      <c r="H57" s="1549"/>
      <c r="I57" s="1549"/>
      <c r="J57" s="1549"/>
      <c r="K57" s="1549"/>
      <c r="L57" s="1549"/>
      <c r="M57" s="1549"/>
      <c r="N57" s="1549"/>
      <c r="O57" s="1549"/>
      <c r="P57" s="1549"/>
      <c r="Q57" s="1549"/>
      <c r="R57" s="1496"/>
    </row>
    <row r="58" spans="1:18" x14ac:dyDescent="0.25">
      <c r="A58" s="466"/>
      <c r="B58" s="466"/>
      <c r="D58" s="1584" t="s">
        <v>773</v>
      </c>
      <c r="E58" s="1499">
        <f>E4</f>
        <v>10.1</v>
      </c>
      <c r="F58" s="1584" t="s">
        <v>1565</v>
      </c>
      <c r="G58" s="1549"/>
      <c r="H58" s="1549"/>
      <c r="I58" s="1549"/>
      <c r="J58" s="1549"/>
      <c r="K58" s="1549"/>
      <c r="L58" s="1549"/>
      <c r="M58" s="1549"/>
      <c r="N58" s="1549"/>
      <c r="O58" s="1549"/>
      <c r="P58" s="1549"/>
      <c r="Q58" s="1549"/>
      <c r="R58" s="1496"/>
    </row>
    <row r="59" spans="1:18" s="246" customFormat="1" ht="16.5" customHeight="1" x14ac:dyDescent="0.25">
      <c r="A59" s="719"/>
      <c r="B59" s="719"/>
      <c r="C59" s="474"/>
      <c r="D59" s="955"/>
      <c r="E59" s="1622" t="s">
        <v>1611</v>
      </c>
      <c r="F59" s="1356" t="s">
        <v>1243</v>
      </c>
      <c r="G59" s="1356"/>
      <c r="H59" s="1356"/>
      <c r="I59" s="1677"/>
      <c r="J59" s="1549"/>
      <c r="K59" s="1549"/>
      <c r="L59" s="1549"/>
      <c r="M59" s="1549"/>
      <c r="N59" s="1549"/>
      <c r="O59" s="1549"/>
      <c r="P59" s="1549"/>
      <c r="Q59" s="1549"/>
      <c r="R59" s="955"/>
    </row>
    <row r="60" spans="1:18" s="246" customFormat="1" ht="16.5" customHeight="1" x14ac:dyDescent="0.25">
      <c r="A60" s="719"/>
      <c r="B60" s="719"/>
      <c r="C60" s="474"/>
      <c r="D60" s="955"/>
      <c r="E60" s="1678"/>
      <c r="F60" s="1449" t="s">
        <v>1244</v>
      </c>
      <c r="G60" s="1449"/>
      <c r="H60" s="1449"/>
      <c r="I60" s="1450"/>
      <c r="J60" s="1450"/>
      <c r="K60" s="1450"/>
      <c r="L60" s="1450"/>
      <c r="M60" s="1450"/>
      <c r="N60" s="1450"/>
      <c r="O60" s="1450"/>
      <c r="P60" s="1450"/>
      <c r="Q60" s="1450"/>
      <c r="R60" s="1354"/>
    </row>
    <row r="61" spans="1:18" s="246" customFormat="1" ht="25.5" customHeight="1" x14ac:dyDescent="0.25">
      <c r="A61" s="719"/>
      <c r="B61" s="719"/>
      <c r="C61" s="474"/>
      <c r="D61" s="955"/>
      <c r="E61" s="1678"/>
      <c r="F61" s="2379" t="s">
        <v>1245</v>
      </c>
      <c r="G61" s="2379"/>
      <c r="H61" s="2379"/>
      <c r="I61" s="2379"/>
      <c r="J61" s="2379"/>
      <c r="K61" s="2379"/>
      <c r="L61" s="2379"/>
      <c r="M61" s="2379"/>
      <c r="N61" s="2379"/>
      <c r="O61" s="2379"/>
      <c r="P61" s="2379"/>
      <c r="Q61" s="2379"/>
      <c r="R61" s="2379"/>
    </row>
    <row r="62" spans="1:18" s="246" customFormat="1" ht="79.95" customHeight="1" x14ac:dyDescent="0.25">
      <c r="A62" s="719"/>
      <c r="B62" s="719" t="s">
        <v>1281</v>
      </c>
      <c r="C62" s="474"/>
      <c r="D62" s="955"/>
      <c r="E62" s="1679"/>
      <c r="F62" s="2380" t="s">
        <v>1246</v>
      </c>
      <c r="G62" s="2381"/>
      <c r="H62" s="2380" t="s">
        <v>1247</v>
      </c>
      <c r="I62" s="2381"/>
      <c r="J62" s="2380" t="s">
        <v>1248</v>
      </c>
      <c r="K62" s="2381"/>
      <c r="L62" s="2380" t="s">
        <v>1249</v>
      </c>
      <c r="M62" s="2381"/>
      <c r="N62" s="2390" t="s">
        <v>1493</v>
      </c>
      <c r="O62" s="2390"/>
      <c r="P62" s="2380" t="s">
        <v>1258</v>
      </c>
      <c r="Q62" s="2381"/>
      <c r="R62" s="955"/>
    </row>
    <row r="63" spans="1:18" s="246" customFormat="1" ht="36.6" customHeight="1" x14ac:dyDescent="0.25">
      <c r="A63" s="719"/>
      <c r="B63" s="719"/>
      <c r="C63" s="474"/>
      <c r="D63" s="955"/>
      <c r="E63" s="1679"/>
      <c r="F63" s="2382" t="s">
        <v>1903</v>
      </c>
      <c r="G63" s="2383"/>
      <c r="H63" s="2384">
        <v>100000</v>
      </c>
      <c r="I63" s="2385"/>
      <c r="J63" s="2386" t="s">
        <v>1250</v>
      </c>
      <c r="K63" s="2387"/>
      <c r="L63" s="2386" t="s">
        <v>1465</v>
      </c>
      <c r="M63" s="2387"/>
      <c r="N63" s="2380" t="s">
        <v>266</v>
      </c>
      <c r="O63" s="2381"/>
      <c r="P63" s="2380" t="s">
        <v>266</v>
      </c>
      <c r="Q63" s="2381"/>
      <c r="R63" s="955"/>
    </row>
    <row r="64" spans="1:18" s="246" customFormat="1" ht="33.6" customHeight="1" x14ac:dyDescent="0.25">
      <c r="A64" s="719"/>
      <c r="B64" s="719"/>
      <c r="C64" s="474"/>
      <c r="D64" s="955"/>
      <c r="E64" s="1679"/>
      <c r="F64" s="2382" t="s">
        <v>1904</v>
      </c>
      <c r="G64" s="2383"/>
      <c r="H64" s="2384">
        <v>1581050</v>
      </c>
      <c r="I64" s="2385"/>
      <c r="J64" s="2386" t="s">
        <v>1251</v>
      </c>
      <c r="K64" s="2387"/>
      <c r="L64" s="2386" t="s">
        <v>1465</v>
      </c>
      <c r="M64" s="2387"/>
      <c r="N64" s="2380" t="s">
        <v>266</v>
      </c>
      <c r="O64" s="2381"/>
      <c r="P64" s="2380" t="s">
        <v>266</v>
      </c>
      <c r="Q64" s="2381"/>
      <c r="R64" s="955"/>
    </row>
    <row r="65" spans="1:19" s="246" customFormat="1" ht="34.200000000000003" customHeight="1" x14ac:dyDescent="0.25">
      <c r="A65" s="719"/>
      <c r="B65" s="719"/>
      <c r="C65" s="474"/>
      <c r="D65" s="955"/>
      <c r="E65" s="1679"/>
      <c r="F65" s="2382" t="s">
        <v>1905</v>
      </c>
      <c r="G65" s="2383"/>
      <c r="H65" s="2384">
        <v>325015</v>
      </c>
      <c r="I65" s="2385"/>
      <c r="J65" s="2380" t="s">
        <v>266</v>
      </c>
      <c r="K65" s="2381"/>
      <c r="L65" s="2386" t="s">
        <v>1398</v>
      </c>
      <c r="M65" s="2387"/>
      <c r="N65" s="2380" t="s">
        <v>266</v>
      </c>
      <c r="O65" s="2381"/>
      <c r="P65" s="2380" t="s">
        <v>266</v>
      </c>
      <c r="Q65" s="2381"/>
      <c r="R65" s="955"/>
    </row>
    <row r="66" spans="1:19" s="246" customFormat="1" ht="35.4" customHeight="1" x14ac:dyDescent="0.25">
      <c r="A66" s="719"/>
      <c r="B66" s="719"/>
      <c r="C66" s="474"/>
      <c r="D66" s="955"/>
      <c r="E66" s="1679"/>
      <c r="F66" s="2382" t="s">
        <v>1906</v>
      </c>
      <c r="G66" s="2383"/>
      <c r="H66" s="2384">
        <v>769525</v>
      </c>
      <c r="I66" s="2385"/>
      <c r="J66" s="2380" t="s">
        <v>266</v>
      </c>
      <c r="K66" s="2381"/>
      <c r="L66" s="2380" t="s">
        <v>266</v>
      </c>
      <c r="M66" s="2381"/>
      <c r="N66" s="2380" t="s">
        <v>266</v>
      </c>
      <c r="O66" s="2381"/>
      <c r="P66" s="2380" t="s">
        <v>266</v>
      </c>
      <c r="Q66" s="2381"/>
      <c r="R66" s="955"/>
    </row>
    <row r="67" spans="1:19" s="246" customFormat="1" ht="53.25" customHeight="1" x14ac:dyDescent="0.25">
      <c r="A67" s="719"/>
      <c r="B67" s="719"/>
      <c r="C67" s="474"/>
      <c r="D67" s="955"/>
      <c r="E67" s="1679"/>
      <c r="F67" s="2388" t="s">
        <v>1907</v>
      </c>
      <c r="G67" s="2388"/>
      <c r="H67" s="2388"/>
      <c r="I67" s="2388"/>
      <c r="J67" s="2388"/>
      <c r="K67" s="2388"/>
      <c r="L67" s="2388"/>
      <c r="M67" s="2388"/>
      <c r="N67" s="2388"/>
      <c r="O67" s="2388"/>
      <c r="P67" s="2388"/>
      <c r="Q67" s="2388"/>
      <c r="R67" s="2388"/>
      <c r="S67" s="506"/>
    </row>
    <row r="68" spans="1:19" s="246" customFormat="1" ht="33.75" customHeight="1" x14ac:dyDescent="0.25">
      <c r="A68" s="719"/>
      <c r="B68" s="719"/>
      <c r="C68" s="474"/>
      <c r="D68" s="955"/>
      <c r="E68" s="1679"/>
      <c r="F68" s="2388" t="s">
        <v>1908</v>
      </c>
      <c r="G68" s="2388"/>
      <c r="H68" s="2388"/>
      <c r="I68" s="2388"/>
      <c r="J68" s="2388"/>
      <c r="K68" s="2388"/>
      <c r="L68" s="2388"/>
      <c r="M68" s="2388"/>
      <c r="N68" s="2388"/>
      <c r="O68" s="2388"/>
      <c r="P68" s="2388"/>
      <c r="Q68" s="2388"/>
      <c r="R68" s="2388"/>
      <c r="S68" s="506"/>
    </row>
    <row r="69" spans="1:19" s="246" customFormat="1" ht="33.75" customHeight="1" x14ac:dyDescent="0.25">
      <c r="A69" s="719"/>
      <c r="B69" s="719"/>
      <c r="C69" s="474"/>
      <c r="D69" s="955"/>
      <c r="E69" s="1679"/>
      <c r="F69" s="2388" t="s">
        <v>1909</v>
      </c>
      <c r="G69" s="2388"/>
      <c r="H69" s="2388"/>
      <c r="I69" s="2388"/>
      <c r="J69" s="2388"/>
      <c r="K69" s="2388"/>
      <c r="L69" s="2388"/>
      <c r="M69" s="2388"/>
      <c r="N69" s="2388"/>
      <c r="O69" s="2388"/>
      <c r="P69" s="2388"/>
      <c r="Q69" s="2388"/>
      <c r="R69" s="2388"/>
      <c r="S69" s="506"/>
    </row>
    <row r="70" spans="1:19" s="246" customFormat="1" ht="59.25" customHeight="1" x14ac:dyDescent="0.25">
      <c r="A70" s="719"/>
      <c r="B70" s="719"/>
      <c r="C70" s="474"/>
      <c r="D70" s="1679"/>
      <c r="E70" s="1680"/>
      <c r="F70" s="2388" t="s">
        <v>1910</v>
      </c>
      <c r="G70" s="2388"/>
      <c r="H70" s="2388"/>
      <c r="I70" s="2388"/>
      <c r="J70" s="2388"/>
      <c r="K70" s="2388"/>
      <c r="L70" s="2388"/>
      <c r="M70" s="2388"/>
      <c r="N70" s="2388"/>
      <c r="O70" s="2388"/>
      <c r="P70" s="2388"/>
      <c r="Q70" s="2388"/>
      <c r="R70" s="2388"/>
      <c r="S70" s="506"/>
    </row>
    <row r="71" spans="1:19" s="246" customFormat="1" ht="12" customHeight="1" x14ac:dyDescent="0.25">
      <c r="A71" s="719"/>
      <c r="B71" s="719"/>
      <c r="C71" s="474"/>
      <c r="D71" s="955"/>
      <c r="E71" s="1681"/>
      <c r="F71" s="1549"/>
      <c r="G71" s="1549"/>
      <c r="H71" s="1549"/>
      <c r="I71" s="1549"/>
      <c r="J71" s="1549"/>
      <c r="K71" s="1549"/>
      <c r="L71" s="1549"/>
      <c r="M71" s="1549"/>
      <c r="N71" s="1549"/>
      <c r="O71" s="1549"/>
      <c r="P71" s="1549"/>
      <c r="Q71" s="1549"/>
      <c r="R71" s="955"/>
    </row>
    <row r="72" spans="1:19" ht="16.5" customHeight="1" x14ac:dyDescent="0.25">
      <c r="A72" s="466" t="s">
        <v>496</v>
      </c>
      <c r="B72" s="466" t="s">
        <v>296</v>
      </c>
      <c r="D72" s="1496"/>
      <c r="E72" s="1622"/>
      <c r="F72" s="2230" t="s">
        <v>1911</v>
      </c>
      <c r="G72" s="2230"/>
      <c r="H72" s="2230"/>
      <c r="I72" s="2230"/>
      <c r="J72" s="2230"/>
      <c r="K72" s="2230"/>
      <c r="L72" s="2230"/>
      <c r="M72" s="2230"/>
      <c r="N72" s="2230"/>
      <c r="O72" s="2230"/>
      <c r="P72" s="2230"/>
      <c r="Q72" s="2230"/>
      <c r="R72" s="1496"/>
      <c r="S72" s="348" t="s">
        <v>1270</v>
      </c>
    </row>
    <row r="73" spans="1:19" x14ac:dyDescent="0.25">
      <c r="A73" s="466"/>
      <c r="B73" s="466"/>
      <c r="D73" s="1598"/>
      <c r="E73" s="1598"/>
      <c r="F73" s="2230"/>
      <c r="G73" s="2230"/>
      <c r="H73" s="2230"/>
      <c r="I73" s="2230"/>
      <c r="J73" s="2230"/>
      <c r="K73" s="2230"/>
      <c r="L73" s="2230"/>
      <c r="M73" s="2230"/>
      <c r="N73" s="2230"/>
      <c r="O73" s="2230"/>
      <c r="P73" s="2230"/>
      <c r="Q73" s="2230"/>
      <c r="R73" s="1496"/>
    </row>
    <row r="74" spans="1:19" s="246" customFormat="1" ht="16.5" customHeight="1" x14ac:dyDescent="0.25">
      <c r="A74" s="719"/>
      <c r="B74" s="719"/>
      <c r="C74" s="474"/>
      <c r="D74" s="955"/>
      <c r="E74" s="1682" t="s">
        <v>497</v>
      </c>
      <c r="F74" s="2230" t="s">
        <v>1912</v>
      </c>
      <c r="G74" s="2230"/>
      <c r="H74" s="2230"/>
      <c r="I74" s="2230"/>
      <c r="J74" s="2230"/>
      <c r="K74" s="2230"/>
      <c r="L74" s="2230"/>
      <c r="M74" s="2230"/>
      <c r="N74" s="2230"/>
      <c r="O74" s="2230"/>
      <c r="P74" s="2230"/>
      <c r="Q74" s="2230"/>
      <c r="R74" s="955"/>
    </row>
    <row r="75" spans="1:19" s="246" customFormat="1" x14ac:dyDescent="0.25">
      <c r="A75" s="719"/>
      <c r="B75" s="719"/>
      <c r="C75" s="474"/>
      <c r="D75" s="955"/>
      <c r="E75" s="1681"/>
      <c r="F75" s="2230"/>
      <c r="G75" s="2230"/>
      <c r="H75" s="2230"/>
      <c r="I75" s="2230"/>
      <c r="J75" s="2230"/>
      <c r="K75" s="2230"/>
      <c r="L75" s="2230"/>
      <c r="M75" s="2230"/>
      <c r="N75" s="2230"/>
      <c r="O75" s="2230"/>
      <c r="P75" s="2230"/>
      <c r="Q75" s="2230"/>
      <c r="R75" s="955"/>
    </row>
    <row r="76" spans="1:19" s="246" customFormat="1" ht="16.5" customHeight="1" x14ac:dyDescent="0.25">
      <c r="A76" s="719"/>
      <c r="B76" s="719"/>
      <c r="C76" s="474"/>
      <c r="D76" s="955"/>
      <c r="E76" s="1681"/>
      <c r="F76" s="2389" t="s">
        <v>1269</v>
      </c>
      <c r="G76" s="2389"/>
      <c r="H76" s="2389"/>
      <c r="I76" s="2389"/>
      <c r="J76" s="2389"/>
      <c r="K76" s="2389"/>
      <c r="L76" s="2389"/>
      <c r="M76" s="2389"/>
      <c r="N76" s="2389"/>
      <c r="O76" s="2389"/>
      <c r="P76" s="2389"/>
      <c r="Q76" s="2389"/>
      <c r="R76" s="1683"/>
    </row>
    <row r="77" spans="1:19" s="246" customFormat="1" x14ac:dyDescent="0.25">
      <c r="A77" s="719"/>
      <c r="B77" s="719"/>
      <c r="C77" s="474"/>
      <c r="D77" s="955"/>
      <c r="E77" s="1681"/>
      <c r="F77" s="1549"/>
      <c r="G77" s="1549"/>
      <c r="H77" s="1549"/>
      <c r="I77" s="1549"/>
      <c r="J77" s="1549"/>
      <c r="K77" s="1549"/>
      <c r="L77" s="1549"/>
      <c r="M77" s="1549"/>
      <c r="N77" s="1549"/>
      <c r="O77" s="1549"/>
      <c r="P77" s="1549"/>
      <c r="Q77" s="1549"/>
      <c r="R77" s="955"/>
    </row>
    <row r="78" spans="1:19" s="246" customFormat="1" ht="16.5" customHeight="1" x14ac:dyDescent="0.25">
      <c r="A78" s="719"/>
      <c r="B78" s="719" t="s">
        <v>1268</v>
      </c>
      <c r="C78" s="474"/>
      <c r="D78" s="955"/>
      <c r="E78" s="1622" t="s">
        <v>1254</v>
      </c>
      <c r="F78" s="1684" t="s">
        <v>1267</v>
      </c>
      <c r="G78" s="1684"/>
      <c r="H78" s="1684"/>
      <c r="I78" s="1684"/>
      <c r="J78" s="1549"/>
      <c r="K78" s="1549"/>
      <c r="L78" s="1549"/>
      <c r="M78" s="1549"/>
      <c r="N78" s="1549"/>
      <c r="O78" s="1549"/>
      <c r="P78" s="1549"/>
      <c r="Q78" s="1549"/>
      <c r="R78" s="955"/>
    </row>
    <row r="79" spans="1:19" s="246" customFormat="1" ht="24.75" customHeight="1" x14ac:dyDescent="0.25">
      <c r="A79" s="719"/>
      <c r="B79" s="719"/>
      <c r="C79" s="474"/>
      <c r="D79" s="955"/>
      <c r="E79" s="1678"/>
      <c r="F79" s="2266" t="s">
        <v>1252</v>
      </c>
      <c r="G79" s="2266"/>
      <c r="H79" s="2266"/>
      <c r="I79" s="2266"/>
      <c r="J79" s="2266"/>
      <c r="K79" s="2266"/>
      <c r="L79" s="2266"/>
      <c r="M79" s="2266"/>
      <c r="N79" s="2266"/>
      <c r="O79" s="2266"/>
      <c r="P79" s="2266"/>
      <c r="Q79" s="2266"/>
      <c r="R79" s="2266"/>
    </row>
    <row r="80" spans="1:19" s="246" customFormat="1" ht="27" customHeight="1" x14ac:dyDescent="0.25">
      <c r="A80" s="719"/>
      <c r="B80" s="719"/>
      <c r="C80" s="474"/>
      <c r="D80" s="955"/>
      <c r="E80" s="1678"/>
      <c r="F80" s="2379" t="s">
        <v>1253</v>
      </c>
      <c r="G80" s="2379"/>
      <c r="H80" s="2379"/>
      <c r="I80" s="2379"/>
      <c r="J80" s="2379"/>
      <c r="K80" s="2379"/>
      <c r="L80" s="2379"/>
      <c r="M80" s="2379"/>
      <c r="N80" s="2379"/>
      <c r="O80" s="2379"/>
      <c r="P80" s="2379"/>
      <c r="Q80" s="2379"/>
      <c r="R80" s="2379"/>
      <c r="S80" s="507"/>
    </row>
    <row r="81" spans="1:20" s="246" customFormat="1" x14ac:dyDescent="0.25">
      <c r="A81" s="719"/>
      <c r="B81" s="719"/>
      <c r="C81" s="474"/>
      <c r="D81" s="955"/>
      <c r="E81" s="1681"/>
      <c r="F81" s="1831"/>
      <c r="G81" s="1831"/>
      <c r="H81" s="1831"/>
      <c r="I81" s="1831"/>
      <c r="J81" s="1831"/>
      <c r="K81" s="1831"/>
      <c r="L81" s="1831"/>
      <c r="M81" s="1831"/>
      <c r="N81" s="1831"/>
      <c r="O81" s="1831"/>
      <c r="P81" s="1831"/>
      <c r="Q81" s="1831"/>
      <c r="R81" s="955"/>
    </row>
    <row r="82" spans="1:20" s="246" customFormat="1" ht="16.5" customHeight="1" x14ac:dyDescent="0.25">
      <c r="A82" s="719">
        <v>124</v>
      </c>
      <c r="B82" s="719" t="s">
        <v>1266</v>
      </c>
      <c r="C82" s="474"/>
      <c r="D82" s="955"/>
      <c r="E82" s="1622" t="s">
        <v>1259</v>
      </c>
      <c r="F82" s="1684" t="s">
        <v>1255</v>
      </c>
      <c r="G82" s="1684"/>
      <c r="H82" s="1684"/>
      <c r="I82" s="1684"/>
      <c r="J82" s="1549"/>
      <c r="K82" s="1549"/>
      <c r="L82" s="1549"/>
      <c r="M82" s="1549"/>
      <c r="N82" s="1549"/>
      <c r="O82" s="1549"/>
      <c r="P82" s="1549"/>
      <c r="Q82" s="1549"/>
      <c r="R82" s="955"/>
    </row>
    <row r="83" spans="1:20" s="246" customFormat="1" ht="32.25" customHeight="1" x14ac:dyDescent="0.25">
      <c r="A83" s="719"/>
      <c r="B83" s="719"/>
      <c r="C83" s="474"/>
      <c r="D83" s="955"/>
      <c r="E83" s="1678"/>
      <c r="F83" s="2266" t="s">
        <v>1256</v>
      </c>
      <c r="G83" s="2266"/>
      <c r="H83" s="2266"/>
      <c r="I83" s="2266"/>
      <c r="J83" s="2266"/>
      <c r="K83" s="2266"/>
      <c r="L83" s="2266"/>
      <c r="M83" s="2266"/>
      <c r="N83" s="2266"/>
      <c r="O83" s="2266"/>
      <c r="P83" s="2266"/>
      <c r="Q83" s="2266"/>
      <c r="R83" s="2266"/>
    </row>
    <row r="84" spans="1:20" s="246" customFormat="1" x14ac:dyDescent="0.25">
      <c r="A84" s="719"/>
      <c r="B84" s="719"/>
      <c r="C84" s="474"/>
      <c r="D84" s="955"/>
      <c r="E84" s="1685"/>
      <c r="F84" s="2379" t="s">
        <v>1257</v>
      </c>
      <c r="G84" s="2379"/>
      <c r="H84" s="2379"/>
      <c r="I84" s="2379"/>
      <c r="J84" s="2379"/>
      <c r="K84" s="2379"/>
      <c r="L84" s="2379"/>
      <c r="M84" s="2379"/>
      <c r="N84" s="2379"/>
      <c r="O84" s="2379"/>
      <c r="P84" s="2379"/>
      <c r="Q84" s="2379"/>
      <c r="R84" s="2379"/>
    </row>
    <row r="85" spans="1:20" s="246" customFormat="1" ht="16.5" customHeight="1" x14ac:dyDescent="0.25">
      <c r="A85" s="719"/>
      <c r="B85" s="719"/>
      <c r="C85" s="474"/>
      <c r="D85" s="955"/>
      <c r="E85" s="1685"/>
      <c r="F85" s="1831"/>
      <c r="G85" s="1831"/>
      <c r="H85" s="1831"/>
      <c r="I85" s="1831"/>
      <c r="J85" s="1831"/>
      <c r="K85" s="1831"/>
      <c r="L85" s="1831"/>
      <c r="M85" s="1831"/>
      <c r="N85" s="1831"/>
      <c r="O85" s="1831"/>
      <c r="P85" s="1831"/>
      <c r="Q85" s="1831"/>
      <c r="R85" s="955"/>
    </row>
    <row r="86" spans="1:20" s="246" customFormat="1" ht="16.5" customHeight="1" x14ac:dyDescent="0.25">
      <c r="A86" s="719">
        <v>124</v>
      </c>
      <c r="B86" s="719">
        <v>23</v>
      </c>
      <c r="C86" s="474"/>
      <c r="D86" s="955"/>
      <c r="E86" s="1622" t="s">
        <v>1505</v>
      </c>
      <c r="F86" s="1684" t="s">
        <v>1260</v>
      </c>
      <c r="G86" s="1684"/>
      <c r="H86" s="1684"/>
      <c r="I86" s="1831"/>
      <c r="J86" s="1831"/>
      <c r="K86" s="1831"/>
      <c r="L86" s="1831"/>
      <c r="M86" s="1831"/>
      <c r="N86" s="1831"/>
      <c r="O86" s="1831"/>
      <c r="P86" s="1831"/>
      <c r="Q86" s="1831"/>
      <c r="R86" s="955"/>
    </row>
    <row r="87" spans="1:20" s="246" customFormat="1" ht="32.25" customHeight="1" x14ac:dyDescent="0.25">
      <c r="A87" s="719"/>
      <c r="B87" s="719"/>
      <c r="C87" s="474"/>
      <c r="D87" s="955"/>
      <c r="E87" s="1685"/>
      <c r="F87" s="2266" t="s">
        <v>1261</v>
      </c>
      <c r="G87" s="2266"/>
      <c r="H87" s="2266"/>
      <c r="I87" s="2266"/>
      <c r="J87" s="2266"/>
      <c r="K87" s="2266"/>
      <c r="L87" s="2266"/>
      <c r="M87" s="2266"/>
      <c r="N87" s="2266"/>
      <c r="O87" s="2266"/>
      <c r="P87" s="2266"/>
      <c r="Q87" s="2266"/>
      <c r="R87" s="2266"/>
    </row>
    <row r="88" spans="1:20" s="246" customFormat="1" ht="16.5" customHeight="1" x14ac:dyDescent="0.25">
      <c r="A88" s="719"/>
      <c r="B88" s="719"/>
      <c r="C88" s="474"/>
      <c r="D88" s="955"/>
      <c r="E88" s="1685"/>
      <c r="F88" s="1449" t="s">
        <v>1265</v>
      </c>
      <c r="G88" s="1354"/>
      <c r="H88" s="1354"/>
      <c r="I88" s="1831"/>
      <c r="J88" s="1831"/>
      <c r="K88" s="1831"/>
      <c r="L88" s="1831"/>
      <c r="M88" s="1831"/>
      <c r="N88" s="1831"/>
      <c r="O88" s="1831"/>
      <c r="P88" s="1831"/>
      <c r="Q88" s="1831"/>
      <c r="R88" s="955"/>
    </row>
    <row r="89" spans="1:20" s="246" customFormat="1" ht="16.5" customHeight="1" x14ac:dyDescent="0.25">
      <c r="A89" s="719"/>
      <c r="B89" s="719"/>
      <c r="C89" s="474"/>
      <c r="D89" s="955"/>
      <c r="E89" s="1685"/>
      <c r="F89" s="1354" t="s">
        <v>1263</v>
      </c>
      <c r="G89" s="1354"/>
      <c r="H89" s="1354"/>
      <c r="I89" s="1831"/>
      <c r="J89" s="1831"/>
      <c r="K89" s="1831"/>
      <c r="L89" s="1831"/>
      <c r="M89" s="1831"/>
      <c r="N89" s="1831"/>
      <c r="O89" s="1831"/>
      <c r="P89" s="1831"/>
      <c r="Q89" s="1831"/>
      <c r="R89" s="955"/>
    </row>
    <row r="90" spans="1:20" s="246" customFormat="1" ht="16.5" customHeight="1" x14ac:dyDescent="0.25">
      <c r="A90" s="719"/>
      <c r="B90" s="719"/>
      <c r="C90" s="474"/>
      <c r="D90" s="1685"/>
      <c r="E90" s="1831"/>
      <c r="F90" s="1686" t="s">
        <v>1262</v>
      </c>
      <c r="G90" s="1686"/>
      <c r="H90" s="1686"/>
      <c r="I90" s="1831"/>
      <c r="J90" s="955"/>
      <c r="K90" s="1831"/>
      <c r="L90" s="1831"/>
      <c r="M90" s="1831"/>
      <c r="N90" s="1831"/>
      <c r="O90" s="1831"/>
      <c r="P90" s="1831"/>
      <c r="Q90" s="1831"/>
      <c r="R90" s="955"/>
    </row>
    <row r="91" spans="1:20" s="246" customFormat="1" ht="33.75" customHeight="1" x14ac:dyDescent="0.25">
      <c r="A91" s="719"/>
      <c r="B91" s="719"/>
      <c r="C91" s="474"/>
      <c r="D91" s="1685"/>
      <c r="E91" s="955"/>
      <c r="F91" s="2266" t="s">
        <v>1264</v>
      </c>
      <c r="G91" s="2266"/>
      <c r="H91" s="2266"/>
      <c r="I91" s="2266"/>
      <c r="J91" s="2266"/>
      <c r="K91" s="2266"/>
      <c r="L91" s="2266"/>
      <c r="M91" s="2266"/>
      <c r="N91" s="2266"/>
      <c r="O91" s="2266"/>
      <c r="P91" s="2266"/>
      <c r="Q91" s="2266"/>
      <c r="R91" s="2266"/>
    </row>
    <row r="92" spans="1:20" x14ac:dyDescent="0.25">
      <c r="A92" s="466"/>
      <c r="B92" s="466"/>
      <c r="D92" s="1493"/>
      <c r="E92" s="1493"/>
      <c r="F92" s="1493"/>
      <c r="G92" s="1493"/>
      <c r="H92" s="1493"/>
      <c r="I92" s="1493"/>
      <c r="J92" s="1496"/>
      <c r="K92" s="1496"/>
      <c r="L92" s="1496"/>
      <c r="M92" s="1496"/>
      <c r="N92" s="1496"/>
      <c r="O92" s="1496"/>
      <c r="P92" s="1496"/>
      <c r="Q92" s="1526"/>
      <c r="R92" s="1687"/>
      <c r="S92" s="461"/>
      <c r="T92" s="477"/>
    </row>
    <row r="93" spans="1:20" x14ac:dyDescent="0.25">
      <c r="A93" s="466" t="s">
        <v>496</v>
      </c>
      <c r="B93" s="466" t="s">
        <v>298</v>
      </c>
      <c r="C93" s="459"/>
      <c r="D93" s="1584" t="s">
        <v>773</v>
      </c>
      <c r="E93" s="1499">
        <v>10.199999999999999</v>
      </c>
      <c r="F93" s="1499" t="s">
        <v>333</v>
      </c>
      <c r="G93" s="1499"/>
      <c r="H93" s="1499"/>
      <c r="I93" s="1499"/>
      <c r="J93" s="1496"/>
      <c r="K93" s="1688"/>
      <c r="L93" s="1688"/>
      <c r="M93" s="1688"/>
      <c r="N93" s="1688"/>
      <c r="O93" s="1688"/>
      <c r="P93" s="1688"/>
      <c r="Q93" s="1526"/>
      <c r="R93" s="1526"/>
      <c r="S93" s="461"/>
      <c r="T93" s="477"/>
    </row>
    <row r="94" spans="1:20" x14ac:dyDescent="0.25">
      <c r="A94" s="466"/>
      <c r="B94" s="469"/>
      <c r="C94" s="473"/>
      <c r="D94" s="1493"/>
      <c r="E94" s="1493"/>
      <c r="F94" s="1689" t="s">
        <v>415</v>
      </c>
      <c r="G94" s="1689"/>
      <c r="H94" s="1689"/>
      <c r="I94" s="1689"/>
      <c r="J94" s="1496"/>
      <c r="K94" s="1526"/>
      <c r="L94" s="1526"/>
      <c r="M94" s="1526"/>
      <c r="N94" s="1690"/>
      <c r="O94" s="1690"/>
      <c r="P94" s="1690"/>
      <c r="Q94" s="1526"/>
      <c r="R94" s="1526"/>
      <c r="S94" s="476"/>
      <c r="T94" s="476"/>
    </row>
    <row r="95" spans="1:20" ht="51.75" customHeight="1" x14ac:dyDescent="0.25">
      <c r="A95" s="466"/>
      <c r="B95" s="466"/>
      <c r="C95" s="471"/>
      <c r="D95" s="472"/>
      <c r="E95" s="472"/>
      <c r="F95" s="472"/>
      <c r="G95" s="472"/>
      <c r="H95" s="472"/>
      <c r="I95" s="472"/>
      <c r="J95" s="2359"/>
      <c r="K95" s="2359"/>
      <c r="L95" s="2359"/>
      <c r="M95" s="2359"/>
      <c r="N95" s="2359"/>
      <c r="O95" s="2359"/>
      <c r="P95" s="2359"/>
      <c r="Q95" s="2359"/>
      <c r="R95" s="471"/>
    </row>
    <row r="96" spans="1:20" x14ac:dyDescent="0.25">
      <c r="A96" s="466"/>
      <c r="B96" s="466"/>
      <c r="D96" s="459"/>
      <c r="E96" s="459"/>
      <c r="F96" s="459"/>
      <c r="G96" s="459"/>
      <c r="H96" s="459"/>
      <c r="I96" s="459"/>
      <c r="J96" s="470"/>
      <c r="K96" s="470"/>
      <c r="L96" s="470"/>
      <c r="M96" s="470"/>
    </row>
    <row r="397" ht="11.25" customHeight="1" x14ac:dyDescent="0.25"/>
  </sheetData>
  <mergeCells count="76">
    <mergeCell ref="F10:R10"/>
    <mergeCell ref="S1:X2"/>
    <mergeCell ref="F6:R6"/>
    <mergeCell ref="F7:R7"/>
    <mergeCell ref="F8:R8"/>
    <mergeCell ref="F9:R9"/>
    <mergeCell ref="H1:O1"/>
    <mergeCell ref="H2:O2"/>
    <mergeCell ref="F20:R20"/>
    <mergeCell ref="F33:R33"/>
    <mergeCell ref="F34:R34"/>
    <mergeCell ref="F40:R40"/>
    <mergeCell ref="F11:R11"/>
    <mergeCell ref="F14:R14"/>
    <mergeCell ref="L15:R15"/>
    <mergeCell ref="F16:R16"/>
    <mergeCell ref="F18:R18"/>
    <mergeCell ref="F19:R19"/>
    <mergeCell ref="F36:R36"/>
    <mergeCell ref="F35:R35"/>
    <mergeCell ref="F43:R43"/>
    <mergeCell ref="I46:J46"/>
    <mergeCell ref="K46:Q46"/>
    <mergeCell ref="K47:L47"/>
    <mergeCell ref="M47:O47"/>
    <mergeCell ref="P47:Q47"/>
    <mergeCell ref="P63:Q63"/>
    <mergeCell ref="F53:R53"/>
    <mergeCell ref="F56:R56"/>
    <mergeCell ref="F61:R61"/>
    <mergeCell ref="F62:G62"/>
    <mergeCell ref="H62:I62"/>
    <mergeCell ref="J62:K62"/>
    <mergeCell ref="L62:M62"/>
    <mergeCell ref="N62:O62"/>
    <mergeCell ref="P62:Q62"/>
    <mergeCell ref="F63:G63"/>
    <mergeCell ref="H63:I63"/>
    <mergeCell ref="J63:K63"/>
    <mergeCell ref="L63:M63"/>
    <mergeCell ref="N63:O63"/>
    <mergeCell ref="H64:I64"/>
    <mergeCell ref="J64:K64"/>
    <mergeCell ref="L64:M64"/>
    <mergeCell ref="N64:O64"/>
    <mergeCell ref="P64:Q64"/>
    <mergeCell ref="F79:R79"/>
    <mergeCell ref="F80:R80"/>
    <mergeCell ref="F67:R67"/>
    <mergeCell ref="F68:R68"/>
    <mergeCell ref="F69:R69"/>
    <mergeCell ref="F70:R70"/>
    <mergeCell ref="F72:Q73"/>
    <mergeCell ref="F74:Q75"/>
    <mergeCell ref="F76:Q76"/>
    <mergeCell ref="F66:G66"/>
    <mergeCell ref="H66:I66"/>
    <mergeCell ref="J66:K66"/>
    <mergeCell ref="L66:M66"/>
    <mergeCell ref="N66:O66"/>
    <mergeCell ref="F91:R91"/>
    <mergeCell ref="J95:Q95"/>
    <mergeCell ref="G30:Q30"/>
    <mergeCell ref="G26:Q26"/>
    <mergeCell ref="F37:Q37"/>
    <mergeCell ref="F83:R83"/>
    <mergeCell ref="F84:R84"/>
    <mergeCell ref="F87:R87"/>
    <mergeCell ref="P66:Q66"/>
    <mergeCell ref="F65:G65"/>
    <mergeCell ref="H65:I65"/>
    <mergeCell ref="J65:K65"/>
    <mergeCell ref="L65:M65"/>
    <mergeCell ref="N65:O65"/>
    <mergeCell ref="P65:Q65"/>
    <mergeCell ref="F64:G64"/>
  </mergeCells>
  <pageMargins left="0.31496062992125984" right="0.31496062992125984" top="0.35433070866141736" bottom="0.35433070866141736" header="0.11811023622047245" footer="0.11811023622047245"/>
  <pageSetup paperSize="9" orientation="portrait" r:id="rId1"/>
  <headerFooter>
    <oddFooter>&amp;R&amp;P</oddFooter>
  </headerFooter>
  <rowBreaks count="1" manualBreakCount="1">
    <brk id="57" min="2" max="16"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T259"/>
  <sheetViews>
    <sheetView view="pageBreakPreview" zoomScaleNormal="115" zoomScaleSheetLayoutView="100" workbookViewId="0"/>
  </sheetViews>
  <sheetFormatPr defaultRowHeight="13.8" x14ac:dyDescent="0.25"/>
  <cols>
    <col min="3" max="4" width="3.69921875" customWidth="1"/>
    <col min="5" max="5" width="11.09765625" customWidth="1"/>
    <col min="6" max="6" width="22.59765625" customWidth="1"/>
    <col min="7" max="8" width="10" customWidth="1"/>
    <col min="9" max="9" width="12.3984375" customWidth="1"/>
    <col min="10" max="10" width="11.5" customWidth="1"/>
    <col min="11" max="11" width="1.69921875" customWidth="1"/>
    <col min="13" max="13" width="22" customWidth="1"/>
  </cols>
  <sheetData>
    <row r="1" spans="1:20" s="1" customFormat="1" ht="16.5" customHeight="1" x14ac:dyDescent="0.25">
      <c r="A1" s="146" t="s">
        <v>1229</v>
      </c>
      <c r="B1" s="366" t="s">
        <v>207</v>
      </c>
      <c r="C1" s="80" t="str">
        <f>IF('Merge Details_Printing instr'!$B$11="Insert details here",'Merge Details_Printing instr'!$A$11,'Merge Details_Printing instr'!$B$11)</f>
        <v>Council Name</v>
      </c>
      <c r="F1" s="534"/>
      <c r="G1" s="534"/>
      <c r="H1" s="536" t="s">
        <v>303</v>
      </c>
      <c r="I1" s="534"/>
      <c r="J1" s="534"/>
      <c r="L1" s="387" t="s">
        <v>1103</v>
      </c>
    </row>
    <row r="2" spans="1:20" s="32" customFormat="1" ht="17.25" customHeight="1" x14ac:dyDescent="0.25">
      <c r="A2" s="146" t="s">
        <v>696</v>
      </c>
      <c r="B2" s="134"/>
      <c r="C2" s="85" t="str">
        <f>+'Merge Details_Printing instr'!A12</f>
        <v>2023-2024 Financial Report</v>
      </c>
      <c r="D2" s="533"/>
      <c r="E2" s="533"/>
      <c r="F2" s="533"/>
      <c r="G2" s="533"/>
      <c r="H2" s="537" t="str">
        <f>'Merge Details_Printing instr'!$A$14</f>
        <v>For the Year Ended 30 June 2024</v>
      </c>
      <c r="I2" s="533"/>
      <c r="J2" s="533"/>
      <c r="K2" s="33"/>
      <c r="L2" s="438" t="s">
        <v>1189</v>
      </c>
    </row>
    <row r="3" spans="1:20" ht="12" customHeight="1" x14ac:dyDescent="0.25">
      <c r="A3" s="199"/>
      <c r="B3" s="73"/>
      <c r="C3" s="70"/>
      <c r="D3" s="70"/>
      <c r="E3" s="200"/>
      <c r="F3" s="200"/>
      <c r="G3" s="200"/>
      <c r="H3" s="200"/>
      <c r="I3" s="200"/>
      <c r="J3" s="200"/>
      <c r="K3" s="32"/>
    </row>
    <row r="4" spans="1:20" ht="14.4" x14ac:dyDescent="0.25">
      <c r="A4" s="256"/>
      <c r="B4" s="256"/>
      <c r="C4" s="1691" t="s">
        <v>286</v>
      </c>
      <c r="D4" s="1692">
        <v>10.3</v>
      </c>
      <c r="E4" s="1693" t="s">
        <v>1009</v>
      </c>
      <c r="F4" s="1694"/>
      <c r="G4" s="1694"/>
      <c r="H4" s="1694"/>
      <c r="I4" s="1694"/>
      <c r="J4" s="1694"/>
      <c r="K4" s="1694"/>
      <c r="L4" s="495" t="s">
        <v>1201</v>
      </c>
      <c r="M4" s="495"/>
      <c r="N4" s="495"/>
      <c r="O4" s="495"/>
      <c r="P4" s="495"/>
      <c r="Q4" s="495"/>
      <c r="R4" s="495"/>
      <c r="S4" s="495"/>
      <c r="T4" s="495"/>
    </row>
    <row r="5" spans="1:20" ht="9" customHeight="1" x14ac:dyDescent="0.25">
      <c r="A5" s="278"/>
      <c r="B5" s="256"/>
      <c r="C5" s="1693"/>
      <c r="D5" s="1693"/>
      <c r="E5" s="1695"/>
      <c r="F5" s="1694"/>
      <c r="G5" s="1694"/>
      <c r="H5" s="1694"/>
      <c r="I5" s="1694"/>
      <c r="J5" s="1694"/>
      <c r="K5" s="1694"/>
      <c r="L5" s="495" t="s">
        <v>1182</v>
      </c>
      <c r="M5" s="495"/>
      <c r="N5" s="495"/>
      <c r="O5" s="495"/>
      <c r="P5" s="495"/>
      <c r="Q5" s="495"/>
      <c r="R5" s="495"/>
      <c r="S5" s="495"/>
      <c r="T5" s="495"/>
    </row>
    <row r="6" spans="1:20" ht="14.4" x14ac:dyDescent="0.25">
      <c r="A6" s="367"/>
      <c r="B6" s="256"/>
      <c r="C6" s="1694"/>
      <c r="D6" s="1694"/>
      <c r="E6" s="1693" t="s">
        <v>1010</v>
      </c>
      <c r="F6" s="1693"/>
      <c r="G6" s="1693"/>
      <c r="H6" s="1693"/>
      <c r="I6" s="1693"/>
      <c r="J6" s="1693"/>
      <c r="K6" s="1693"/>
      <c r="L6" s="495" t="s">
        <v>1183</v>
      </c>
      <c r="M6" s="495"/>
      <c r="N6" s="495"/>
      <c r="O6" s="495"/>
      <c r="P6" s="495"/>
      <c r="Q6" s="495"/>
      <c r="R6" s="495"/>
      <c r="S6" s="495"/>
      <c r="T6" s="495"/>
    </row>
    <row r="7" spans="1:20" ht="6" customHeight="1" x14ac:dyDescent="0.25">
      <c r="A7" s="256"/>
      <c r="B7" s="256"/>
      <c r="C7" s="1696"/>
      <c r="D7" s="1696"/>
      <c r="E7" s="1696"/>
      <c r="F7" s="1696"/>
      <c r="G7" s="1696"/>
      <c r="H7" s="1696"/>
      <c r="I7" s="1696"/>
      <c r="J7" s="1696"/>
      <c r="K7" s="1696"/>
      <c r="L7" s="495"/>
      <c r="M7" s="495"/>
      <c r="N7" s="495"/>
      <c r="O7" s="495"/>
      <c r="P7" s="495"/>
      <c r="Q7" s="495"/>
      <c r="R7" s="495"/>
      <c r="S7" s="495"/>
      <c r="T7" s="495"/>
    </row>
    <row r="8" spans="1:20" ht="14.4" x14ac:dyDescent="0.25">
      <c r="A8" s="256"/>
      <c r="B8" s="256"/>
      <c r="C8" s="1694"/>
      <c r="D8" s="1697" t="s">
        <v>204</v>
      </c>
      <c r="E8" s="1693" t="s">
        <v>1011</v>
      </c>
      <c r="F8" s="1694"/>
      <c r="G8" s="1694"/>
      <c r="H8" s="1694"/>
      <c r="I8" s="1694"/>
      <c r="J8" s="1694"/>
      <c r="K8" s="1694"/>
      <c r="L8" s="495" t="s">
        <v>1184</v>
      </c>
      <c r="M8" s="495"/>
      <c r="N8" s="495"/>
      <c r="O8" s="495"/>
      <c r="P8" s="495"/>
      <c r="Q8" s="495"/>
      <c r="R8" s="495"/>
      <c r="S8" s="495"/>
      <c r="T8" s="495"/>
    </row>
    <row r="9" spans="1:20" ht="41.4" x14ac:dyDescent="0.25">
      <c r="A9" s="256"/>
      <c r="B9" s="256"/>
      <c r="C9" s="1363"/>
      <c r="D9" s="1288"/>
      <c r="E9" s="1698" t="s">
        <v>1012</v>
      </c>
      <c r="F9" s="1699"/>
      <c r="G9" s="2434" t="s">
        <v>1015</v>
      </c>
      <c r="H9" s="2434"/>
      <c r="I9" s="1700" t="str">
        <f>"Percentage owned "&amp;'Merge Details_Printing instr'!$A$19&amp;" (%)"</f>
        <v>Percentage owned 2024 (%)</v>
      </c>
      <c r="J9" s="1701" t="str">
        <f>"Percentage owned "&amp;'Merge Details_Printing instr'!$A$20&amp;" (%)"</f>
        <v>Percentage owned 2023 (%)</v>
      </c>
      <c r="K9" s="1694"/>
      <c r="L9" s="538" t="s">
        <v>1185</v>
      </c>
      <c r="M9" s="495"/>
      <c r="N9" s="495"/>
      <c r="O9" s="495"/>
      <c r="P9" s="495"/>
      <c r="Q9" s="495"/>
      <c r="R9" s="495"/>
      <c r="S9" s="495"/>
      <c r="T9" s="495"/>
    </row>
    <row r="10" spans="1:20" ht="14.4" x14ac:dyDescent="0.25">
      <c r="A10" s="256"/>
      <c r="B10" s="256"/>
      <c r="C10" s="1288"/>
      <c r="D10" s="1288"/>
      <c r="E10" s="1702"/>
      <c r="F10" s="1703"/>
      <c r="G10" s="1703"/>
      <c r="H10" s="1703"/>
      <c r="I10" s="1703"/>
      <c r="J10" s="1704"/>
      <c r="K10" s="1288"/>
      <c r="L10" s="495" t="s">
        <v>1186</v>
      </c>
      <c r="M10" s="495"/>
      <c r="N10" s="495"/>
      <c r="O10" s="495"/>
      <c r="P10" s="495"/>
      <c r="Q10" s="495"/>
      <c r="R10" s="495"/>
      <c r="S10" s="495"/>
      <c r="T10" s="495"/>
    </row>
    <row r="11" spans="1:20" ht="14.4" x14ac:dyDescent="0.25">
      <c r="A11" s="256"/>
      <c r="B11" s="256"/>
      <c r="C11" s="1288"/>
      <c r="D11" s="1288"/>
      <c r="E11" s="1735" t="s">
        <v>1013</v>
      </c>
      <c r="F11" s="1415"/>
      <c r="G11" s="2435" t="s">
        <v>1016</v>
      </c>
      <c r="H11" s="2435"/>
      <c r="I11" s="1832" t="s">
        <v>1017</v>
      </c>
      <c r="J11" s="1833" t="s">
        <v>1017</v>
      </c>
      <c r="K11" s="1288"/>
      <c r="L11" s="495" t="s">
        <v>1202</v>
      </c>
      <c r="M11" s="495"/>
      <c r="N11" s="495"/>
      <c r="O11" s="495"/>
      <c r="P11" s="495"/>
      <c r="Q11" s="495"/>
      <c r="R11" s="495"/>
      <c r="S11" s="495"/>
      <c r="T11" s="495"/>
    </row>
    <row r="12" spans="1:20" ht="16.5" customHeight="1" x14ac:dyDescent="0.25">
      <c r="A12" s="256"/>
      <c r="B12" s="256"/>
      <c r="C12" s="1288"/>
      <c r="D12" s="1288"/>
      <c r="E12" s="1834" t="s">
        <v>1014</v>
      </c>
      <c r="F12" s="1819"/>
      <c r="G12" s="2436" t="s">
        <v>1016</v>
      </c>
      <c r="H12" s="2436"/>
      <c r="I12" s="1835" t="s">
        <v>1017</v>
      </c>
      <c r="J12" s="1836" t="s">
        <v>1017</v>
      </c>
      <c r="K12" s="1288"/>
      <c r="L12" s="495" t="s">
        <v>1203</v>
      </c>
      <c r="M12" s="495"/>
      <c r="N12" s="495"/>
      <c r="O12" s="495"/>
      <c r="P12" s="495"/>
      <c r="Q12" s="495"/>
      <c r="R12" s="495"/>
      <c r="S12" s="495"/>
      <c r="T12" s="495"/>
    </row>
    <row r="13" spans="1:20" ht="14.4" x14ac:dyDescent="0.25">
      <c r="A13" s="256"/>
      <c r="B13" s="256"/>
      <c r="C13" s="1288"/>
      <c r="D13" s="1288"/>
      <c r="E13" s="2418" t="s">
        <v>1018</v>
      </c>
      <c r="F13" s="2418"/>
      <c r="G13" s="2418"/>
      <c r="H13" s="2418"/>
      <c r="I13" s="2418"/>
      <c r="J13" s="2418"/>
      <c r="K13" s="2418"/>
      <c r="L13" s="495" t="s">
        <v>1204</v>
      </c>
      <c r="M13" s="495"/>
      <c r="N13" s="495"/>
      <c r="O13" s="495"/>
      <c r="P13" s="495"/>
      <c r="Q13" s="495"/>
      <c r="R13" s="495"/>
      <c r="S13" s="495"/>
      <c r="T13" s="495"/>
    </row>
    <row r="14" spans="1:20" ht="14.4" x14ac:dyDescent="0.25">
      <c r="A14" s="256"/>
      <c r="B14" s="256"/>
      <c r="C14" s="1288"/>
      <c r="D14" s="1288"/>
      <c r="E14" s="2418" t="s">
        <v>1019</v>
      </c>
      <c r="F14" s="2418"/>
      <c r="G14" s="2418"/>
      <c r="H14" s="2418"/>
      <c r="I14" s="2418"/>
      <c r="J14" s="2418"/>
      <c r="K14" s="2418"/>
      <c r="L14" s="495" t="s">
        <v>1205</v>
      </c>
      <c r="M14" s="495"/>
      <c r="N14" s="495"/>
      <c r="O14" s="495"/>
      <c r="P14" s="495"/>
      <c r="Q14" s="495"/>
      <c r="R14" s="495"/>
      <c r="S14" s="495"/>
      <c r="T14" s="495"/>
    </row>
    <row r="15" spans="1:20" ht="47.25" customHeight="1" x14ac:dyDescent="0.25">
      <c r="A15" s="256"/>
      <c r="B15" s="256"/>
      <c r="C15" s="1288"/>
      <c r="D15" s="1288"/>
      <c r="E15" s="2418" t="s">
        <v>1913</v>
      </c>
      <c r="F15" s="2418"/>
      <c r="G15" s="2418"/>
      <c r="H15" s="2418"/>
      <c r="I15" s="2418"/>
      <c r="J15" s="2418"/>
      <c r="K15" s="2418"/>
      <c r="L15" s="495" t="s">
        <v>1757</v>
      </c>
      <c r="M15" s="495"/>
      <c r="N15" s="495"/>
      <c r="O15" s="495"/>
      <c r="P15" s="495"/>
      <c r="Q15" s="495"/>
      <c r="R15" s="495"/>
      <c r="S15" s="495"/>
      <c r="T15" s="495"/>
    </row>
    <row r="16" spans="1:20" ht="12" customHeight="1" x14ac:dyDescent="0.25">
      <c r="A16" s="256"/>
      <c r="B16" s="256"/>
      <c r="C16" s="1288"/>
      <c r="D16" s="1288"/>
      <c r="E16" s="1288"/>
      <c r="F16" s="1288"/>
      <c r="G16" s="1288"/>
      <c r="H16" s="1288"/>
      <c r="I16" s="1288"/>
      <c r="J16" s="1288"/>
      <c r="K16" s="1288"/>
      <c r="L16" s="495" t="s">
        <v>1206</v>
      </c>
    </row>
    <row r="17" spans="1:12" ht="14.4" x14ac:dyDescent="0.25">
      <c r="A17" s="256"/>
      <c r="B17" s="256"/>
      <c r="C17" s="1288"/>
      <c r="D17" s="1697" t="s">
        <v>90</v>
      </c>
      <c r="E17" s="1693" t="s">
        <v>1020</v>
      </c>
      <c r="F17" s="1288"/>
      <c r="G17" s="1288"/>
      <c r="H17" s="1288"/>
      <c r="I17" s="1288"/>
      <c r="J17" s="1288"/>
      <c r="K17" s="1288"/>
      <c r="L17" s="495" t="s">
        <v>1187</v>
      </c>
    </row>
    <row r="18" spans="1:12" ht="81" customHeight="1" x14ac:dyDescent="0.25">
      <c r="A18" s="256"/>
      <c r="B18" s="256"/>
      <c r="C18" s="1288"/>
      <c r="D18" s="1288"/>
      <c r="E18" s="2419" t="s">
        <v>1021</v>
      </c>
      <c r="F18" s="2419"/>
      <c r="G18" s="2419"/>
      <c r="H18" s="2419"/>
      <c r="I18" s="2419"/>
      <c r="J18" s="2419"/>
      <c r="K18" s="2419"/>
      <c r="L18" s="495" t="s">
        <v>1188</v>
      </c>
    </row>
    <row r="19" spans="1:12" ht="14.1" customHeight="1" x14ac:dyDescent="0.25">
      <c r="A19" s="256"/>
      <c r="B19" s="256"/>
      <c r="C19" s="1288"/>
      <c r="D19" s="1288"/>
      <c r="E19" s="1288"/>
      <c r="F19" s="1288"/>
      <c r="G19" s="1288"/>
      <c r="H19" s="1288"/>
      <c r="I19" s="1288"/>
      <c r="J19" s="1288"/>
      <c r="K19" s="1288"/>
    </row>
    <row r="20" spans="1:12" ht="14.4" x14ac:dyDescent="0.25">
      <c r="A20" s="256"/>
      <c r="B20" s="256"/>
      <c r="C20" s="1288"/>
      <c r="D20" s="1697" t="s">
        <v>91</v>
      </c>
      <c r="E20" s="1693" t="s">
        <v>1022</v>
      </c>
      <c r="F20" s="1288"/>
      <c r="G20" s="1288"/>
      <c r="H20" s="1288"/>
      <c r="I20" s="1288"/>
      <c r="J20" s="1288"/>
      <c r="K20" s="1288"/>
    </row>
    <row r="21" spans="1:12" ht="14.4" x14ac:dyDescent="0.25">
      <c r="A21" s="256"/>
      <c r="B21" s="256"/>
      <c r="C21" s="1288"/>
      <c r="D21" s="1288"/>
      <c r="E21" s="2420" t="s">
        <v>1023</v>
      </c>
      <c r="F21" s="2421"/>
      <c r="G21" s="2421"/>
      <c r="H21" s="2421"/>
      <c r="I21" s="1706">
        <f>'Merge Details_Printing instr'!$A$19</f>
        <v>2024</v>
      </c>
      <c r="J21" s="1707">
        <f>'Merge Details_Printing instr'!$A$20</f>
        <v>2023</v>
      </c>
      <c r="K21" s="1708"/>
      <c r="L21" s="378"/>
    </row>
    <row r="22" spans="1:12" s="249" customFormat="1" ht="12" customHeight="1" x14ac:dyDescent="0.25">
      <c r="A22" s="256"/>
      <c r="B22" s="256"/>
      <c r="C22" s="1288"/>
      <c r="D22" s="1288"/>
      <c r="E22" s="1702"/>
      <c r="F22" s="1703"/>
      <c r="G22" s="1703"/>
      <c r="H22" s="1703"/>
      <c r="I22" s="1703"/>
      <c r="J22" s="1704"/>
      <c r="K22" s="1288"/>
    </row>
    <row r="23" spans="1:12" ht="14.4" x14ac:dyDescent="0.25">
      <c r="A23" s="256"/>
      <c r="B23" s="256"/>
      <c r="C23" s="1288"/>
      <c r="D23" s="1288"/>
      <c r="E23" s="2422" t="s">
        <v>1035</v>
      </c>
      <c r="F23" s="2423"/>
      <c r="G23" s="2423"/>
      <c r="H23" s="2423"/>
      <c r="I23" s="1709" t="s">
        <v>1036</v>
      </c>
      <c r="J23" s="1710" t="s">
        <v>1036</v>
      </c>
      <c r="K23" s="1288"/>
      <c r="L23" s="438" t="s">
        <v>1177</v>
      </c>
    </row>
    <row r="24" spans="1:12" ht="14.4" x14ac:dyDescent="0.25">
      <c r="A24" s="256"/>
      <c r="B24" s="256"/>
      <c r="C24" s="1288"/>
      <c r="D24" s="1288"/>
      <c r="E24" s="2422" t="s">
        <v>1024</v>
      </c>
      <c r="F24" s="2423"/>
      <c r="G24" s="2423"/>
      <c r="H24" s="2423"/>
      <c r="I24" s="1709" t="s">
        <v>1036</v>
      </c>
      <c r="J24" s="1710" t="s">
        <v>1036</v>
      </c>
      <c r="K24" s="1288"/>
    </row>
    <row r="25" spans="1:12" ht="14.4" x14ac:dyDescent="0.25">
      <c r="A25" s="256"/>
      <c r="B25" s="256"/>
      <c r="C25" s="1288"/>
      <c r="D25" s="1288"/>
      <c r="E25" s="2422" t="s">
        <v>1025</v>
      </c>
      <c r="F25" s="2423"/>
      <c r="G25" s="2423"/>
      <c r="H25" s="2423"/>
      <c r="I25" s="1709" t="s">
        <v>1036</v>
      </c>
      <c r="J25" s="1710" t="s">
        <v>1036</v>
      </c>
      <c r="K25" s="1288"/>
    </row>
    <row r="26" spans="1:12" ht="14.4" x14ac:dyDescent="0.25">
      <c r="A26" s="256"/>
      <c r="B26" s="256"/>
      <c r="C26" s="1288"/>
      <c r="D26" s="1288"/>
      <c r="E26" s="2422" t="s">
        <v>1026</v>
      </c>
      <c r="F26" s="2423"/>
      <c r="G26" s="2423"/>
      <c r="H26" s="2423"/>
      <c r="I26" s="1709" t="s">
        <v>1036</v>
      </c>
      <c r="J26" s="1710" t="s">
        <v>1036</v>
      </c>
      <c r="K26" s="1288"/>
    </row>
    <row r="27" spans="1:12" s="249" customFormat="1" ht="12" customHeight="1" x14ac:dyDescent="0.25">
      <c r="A27" s="256"/>
      <c r="B27" s="256"/>
      <c r="C27" s="1288"/>
      <c r="D27" s="1288"/>
      <c r="E27" s="1711"/>
      <c r="F27" s="1712"/>
      <c r="G27" s="1712"/>
      <c r="H27" s="1712"/>
      <c r="I27" s="1713"/>
      <c r="J27" s="1714"/>
      <c r="K27" s="1288"/>
    </row>
    <row r="28" spans="1:12" ht="16.5" customHeight="1" x14ac:dyDescent="0.25">
      <c r="A28" s="256"/>
      <c r="B28" s="256"/>
      <c r="C28" s="1288"/>
      <c r="D28" s="1288"/>
      <c r="E28" s="1715" t="s">
        <v>1027</v>
      </c>
      <c r="F28" s="1716"/>
      <c r="G28" s="1716"/>
      <c r="H28" s="1716"/>
      <c r="I28" s="1713"/>
      <c r="J28" s="1714"/>
      <c r="K28" s="1288"/>
    </row>
    <row r="29" spans="1:12" ht="14.4" x14ac:dyDescent="0.25">
      <c r="A29" s="256"/>
      <c r="B29" s="256"/>
      <c r="C29" s="1288"/>
      <c r="D29" s="1288"/>
      <c r="E29" s="2422" t="s">
        <v>85</v>
      </c>
      <c r="F29" s="2423"/>
      <c r="G29" s="2423"/>
      <c r="H29" s="2423"/>
      <c r="I29" s="1709" t="s">
        <v>1036</v>
      </c>
      <c r="J29" s="1710" t="s">
        <v>1036</v>
      </c>
      <c r="K29" s="1288"/>
    </row>
    <row r="30" spans="1:12" ht="14.4" x14ac:dyDescent="0.25">
      <c r="A30" s="256"/>
      <c r="B30" s="256"/>
      <c r="C30" s="1288"/>
      <c r="D30" s="1288"/>
      <c r="E30" s="2422" t="s">
        <v>150</v>
      </c>
      <c r="F30" s="2423"/>
      <c r="G30" s="2423"/>
      <c r="H30" s="2423"/>
      <c r="I30" s="1709" t="s">
        <v>1036</v>
      </c>
      <c r="J30" s="1710" t="s">
        <v>1036</v>
      </c>
      <c r="K30" s="1288"/>
    </row>
    <row r="31" spans="1:12" ht="14.4" x14ac:dyDescent="0.25">
      <c r="A31" s="256"/>
      <c r="B31" s="256"/>
      <c r="C31" s="1288"/>
      <c r="D31" s="1288"/>
      <c r="E31" s="2422" t="s">
        <v>181</v>
      </c>
      <c r="F31" s="2423"/>
      <c r="G31" s="2423"/>
      <c r="H31" s="2423"/>
      <c r="I31" s="1709" t="s">
        <v>1036</v>
      </c>
      <c r="J31" s="1710" t="s">
        <v>1036</v>
      </c>
      <c r="K31" s="1288"/>
    </row>
    <row r="32" spans="1:12" ht="14.4" x14ac:dyDescent="0.25">
      <c r="A32" s="256"/>
      <c r="B32" s="256"/>
      <c r="C32" s="1288"/>
      <c r="D32" s="1288"/>
      <c r="E32" s="2422" t="s">
        <v>154</v>
      </c>
      <c r="F32" s="2423"/>
      <c r="G32" s="2423"/>
      <c r="H32" s="2423"/>
      <c r="I32" s="1709" t="s">
        <v>1036</v>
      </c>
      <c r="J32" s="1710" t="s">
        <v>1036</v>
      </c>
      <c r="K32" s="1288"/>
    </row>
    <row r="33" spans="1:11" ht="14.4" x14ac:dyDescent="0.25">
      <c r="A33" s="256"/>
      <c r="B33" s="256"/>
      <c r="C33" s="1288"/>
      <c r="D33" s="1288"/>
      <c r="E33" s="2422" t="s">
        <v>1028</v>
      </c>
      <c r="F33" s="2423"/>
      <c r="G33" s="2423"/>
      <c r="H33" s="2423"/>
      <c r="I33" s="1709" t="s">
        <v>1036</v>
      </c>
      <c r="J33" s="1710" t="s">
        <v>1036</v>
      </c>
      <c r="K33" s="1288"/>
    </row>
    <row r="34" spans="1:11" s="249" customFormat="1" ht="12" customHeight="1" x14ac:dyDescent="0.25">
      <c r="A34" s="256"/>
      <c r="B34" s="256"/>
      <c r="C34" s="1288"/>
      <c r="D34" s="1288"/>
      <c r="E34" s="1711"/>
      <c r="F34" s="1712"/>
      <c r="G34" s="1712"/>
      <c r="H34" s="1712"/>
      <c r="I34" s="1713"/>
      <c r="J34" s="1714"/>
      <c r="K34" s="1288"/>
    </row>
    <row r="35" spans="1:11" ht="14.4" x14ac:dyDescent="0.25">
      <c r="A35" s="256"/>
      <c r="B35" s="256"/>
      <c r="C35" s="1288"/>
      <c r="D35" s="1288"/>
      <c r="E35" s="1715" t="s">
        <v>1029</v>
      </c>
      <c r="F35" s="1716"/>
      <c r="G35" s="1716"/>
      <c r="H35" s="1716"/>
      <c r="I35" s="1713"/>
      <c r="J35" s="1714"/>
      <c r="K35" s="1288"/>
    </row>
    <row r="36" spans="1:11" ht="14.4" x14ac:dyDescent="0.25">
      <c r="A36" s="256"/>
      <c r="B36" s="256"/>
      <c r="C36" s="1288"/>
      <c r="D36" s="1288"/>
      <c r="E36" s="2422" t="s">
        <v>594</v>
      </c>
      <c r="F36" s="2423"/>
      <c r="G36" s="2423"/>
      <c r="H36" s="2423"/>
      <c r="I36" s="1709" t="s">
        <v>1036</v>
      </c>
      <c r="J36" s="1710" t="s">
        <v>1036</v>
      </c>
      <c r="K36" s="1288"/>
    </row>
    <row r="37" spans="1:11" ht="14.4" x14ac:dyDescent="0.25">
      <c r="A37" s="256"/>
      <c r="B37" s="256"/>
      <c r="C37" s="1288"/>
      <c r="D37" s="1288"/>
      <c r="E37" s="2422" t="s">
        <v>1030</v>
      </c>
      <c r="F37" s="2423"/>
      <c r="G37" s="2423"/>
      <c r="H37" s="2423"/>
      <c r="I37" s="1709" t="s">
        <v>1036</v>
      </c>
      <c r="J37" s="1710" t="s">
        <v>1036</v>
      </c>
      <c r="K37" s="1288"/>
    </row>
    <row r="38" spans="1:11" ht="14.4" x14ac:dyDescent="0.25">
      <c r="A38" s="256"/>
      <c r="B38" s="256"/>
      <c r="C38" s="1288"/>
      <c r="D38" s="1288"/>
      <c r="E38" s="2422" t="s">
        <v>1031</v>
      </c>
      <c r="F38" s="2423"/>
      <c r="G38" s="2423"/>
      <c r="H38" s="2423"/>
      <c r="I38" s="1709" t="s">
        <v>1036</v>
      </c>
      <c r="J38" s="1710" t="s">
        <v>1036</v>
      </c>
      <c r="K38" s="1288"/>
    </row>
    <row r="39" spans="1:11" s="249" customFormat="1" ht="12" customHeight="1" x14ac:dyDescent="0.25">
      <c r="A39" s="256"/>
      <c r="B39" s="256"/>
      <c r="C39" s="1288"/>
      <c r="D39" s="1288"/>
      <c r="E39" s="1711"/>
      <c r="F39" s="1712"/>
      <c r="G39" s="1712"/>
      <c r="H39" s="1712"/>
      <c r="I39" s="1713"/>
      <c r="J39" s="1714"/>
      <c r="K39" s="1288"/>
    </row>
    <row r="40" spans="1:11" ht="16.5" customHeight="1" x14ac:dyDescent="0.25">
      <c r="A40" s="256"/>
      <c r="B40" s="256"/>
      <c r="C40" s="1288"/>
      <c r="D40" s="1288"/>
      <c r="E40" s="1715" t="s">
        <v>1032</v>
      </c>
      <c r="F40" s="1716"/>
      <c r="G40" s="1716"/>
      <c r="H40" s="1716"/>
      <c r="I40" s="1713"/>
      <c r="J40" s="1714"/>
      <c r="K40" s="1288"/>
    </row>
    <row r="41" spans="1:11" ht="14.4" x14ac:dyDescent="0.25">
      <c r="A41" s="256"/>
      <c r="B41" s="256"/>
      <c r="C41" s="1288"/>
      <c r="D41" s="1288"/>
      <c r="E41" s="2422" t="s">
        <v>158</v>
      </c>
      <c r="F41" s="2423"/>
      <c r="G41" s="2423"/>
      <c r="H41" s="2423"/>
      <c r="I41" s="1709" t="s">
        <v>1036</v>
      </c>
      <c r="J41" s="1710" t="s">
        <v>1036</v>
      </c>
      <c r="K41" s="1288"/>
    </row>
    <row r="42" spans="1:11" ht="14.4" x14ac:dyDescent="0.25">
      <c r="A42" s="256"/>
      <c r="B42" s="256"/>
      <c r="C42" s="1288"/>
      <c r="D42" s="1288"/>
      <c r="E42" s="2422" t="s">
        <v>416</v>
      </c>
      <c r="F42" s="2423"/>
      <c r="G42" s="2423"/>
      <c r="H42" s="2423"/>
      <c r="I42" s="1709" t="s">
        <v>1036</v>
      </c>
      <c r="J42" s="1710" t="s">
        <v>1036</v>
      </c>
      <c r="K42" s="1288"/>
    </row>
    <row r="43" spans="1:11" ht="14.4" x14ac:dyDescent="0.25">
      <c r="A43" s="256"/>
      <c r="B43" s="256"/>
      <c r="C43" s="1288"/>
      <c r="D43" s="1288"/>
      <c r="E43" s="2422" t="s">
        <v>1033</v>
      </c>
      <c r="F43" s="2423"/>
      <c r="G43" s="2423"/>
      <c r="H43" s="2423"/>
      <c r="I43" s="1709" t="s">
        <v>1036</v>
      </c>
      <c r="J43" s="1710" t="s">
        <v>1036</v>
      </c>
      <c r="K43" s="1288"/>
    </row>
    <row r="44" spans="1:11" ht="14.4" x14ac:dyDescent="0.25">
      <c r="A44" s="256"/>
      <c r="B44" s="256"/>
      <c r="C44" s="1288"/>
      <c r="D44" s="1288"/>
      <c r="E44" s="2424" t="s">
        <v>1034</v>
      </c>
      <c r="F44" s="2425"/>
      <c r="G44" s="2425"/>
      <c r="H44" s="2425"/>
      <c r="I44" s="1717" t="s">
        <v>1036</v>
      </c>
      <c r="J44" s="1718" t="s">
        <v>1036</v>
      </c>
      <c r="K44" s="1288"/>
    </row>
    <row r="45" spans="1:11" ht="14.1" customHeight="1" x14ac:dyDescent="0.25">
      <c r="A45" s="256"/>
      <c r="B45" s="256"/>
      <c r="C45" s="1288"/>
      <c r="D45" s="1288"/>
      <c r="E45" s="1288"/>
      <c r="F45" s="1288"/>
      <c r="G45" s="1288"/>
      <c r="H45" s="1288"/>
      <c r="I45" s="1288"/>
      <c r="J45" s="1288"/>
      <c r="K45" s="1288"/>
    </row>
    <row r="46" spans="1:11" ht="14.4" x14ac:dyDescent="0.25">
      <c r="A46" s="256"/>
      <c r="B46" s="256"/>
      <c r="C46" s="1288"/>
      <c r="D46" s="1697" t="s">
        <v>49</v>
      </c>
      <c r="E46" s="1693" t="s">
        <v>1037</v>
      </c>
      <c r="F46" s="1288"/>
      <c r="G46" s="1288"/>
      <c r="H46" s="1288"/>
      <c r="I46" s="1288"/>
      <c r="J46" s="1288"/>
      <c r="K46" s="1288"/>
    </row>
    <row r="47" spans="1:11" ht="45" customHeight="1" x14ac:dyDescent="0.25">
      <c r="A47" s="256"/>
      <c r="B47" s="256"/>
      <c r="C47" s="1288"/>
      <c r="D47" s="1288"/>
      <c r="E47" s="2418" t="s">
        <v>1038</v>
      </c>
      <c r="F47" s="2418"/>
      <c r="G47" s="2418"/>
      <c r="H47" s="2418"/>
      <c r="I47" s="2418"/>
      <c r="J47" s="2418"/>
      <c r="K47" s="2418"/>
    </row>
    <row r="48" spans="1:11" s="249" customFormat="1" ht="14.1" customHeight="1" x14ac:dyDescent="0.25">
      <c r="A48" s="256"/>
      <c r="B48" s="256"/>
      <c r="C48" s="1288"/>
      <c r="D48" s="1288"/>
      <c r="E48" s="1288"/>
      <c r="F48" s="1288"/>
      <c r="G48" s="1288"/>
      <c r="H48" s="1288"/>
      <c r="I48" s="1288"/>
      <c r="J48" s="1288"/>
      <c r="K48" s="1288"/>
    </row>
    <row r="49" spans="1:12" ht="14.4" x14ac:dyDescent="0.25">
      <c r="A49" s="256"/>
      <c r="B49" s="256"/>
      <c r="C49" s="1288"/>
      <c r="D49" s="1697" t="s">
        <v>50</v>
      </c>
      <c r="E49" s="1694" t="s">
        <v>1039</v>
      </c>
      <c r="F49" s="1288"/>
      <c r="G49" s="1288"/>
      <c r="H49" s="1288"/>
      <c r="I49" s="1288"/>
      <c r="J49" s="1288"/>
      <c r="K49" s="1288"/>
    </row>
    <row r="50" spans="1:12" ht="14.4" x14ac:dyDescent="0.25">
      <c r="A50" s="256"/>
      <c r="B50" s="256"/>
      <c r="C50" s="1288"/>
      <c r="D50" s="1288"/>
      <c r="E50" s="1693" t="s">
        <v>1040</v>
      </c>
      <c r="F50" s="1288"/>
      <c r="G50" s="1288"/>
      <c r="H50" s="1288"/>
      <c r="I50" s="1288"/>
      <c r="J50" s="1288"/>
      <c r="K50" s="1288"/>
    </row>
    <row r="51" spans="1:12" ht="41.25" customHeight="1" x14ac:dyDescent="0.25">
      <c r="A51" s="256"/>
      <c r="B51" s="256"/>
      <c r="C51" s="1288"/>
      <c r="D51" s="1288"/>
      <c r="E51" s="2418" t="s">
        <v>1914</v>
      </c>
      <c r="F51" s="2418"/>
      <c r="G51" s="2418"/>
      <c r="H51" s="2418"/>
      <c r="I51" s="2418"/>
      <c r="J51" s="2418"/>
      <c r="K51" s="2418"/>
    </row>
    <row r="52" spans="1:12" ht="16.5" customHeight="1" x14ac:dyDescent="0.25">
      <c r="A52" s="256"/>
      <c r="B52" s="256"/>
      <c r="C52" s="1288"/>
      <c r="D52" s="1288"/>
      <c r="E52" s="1719"/>
      <c r="F52" s="1720"/>
      <c r="G52" s="1720"/>
      <c r="H52" s="1720"/>
      <c r="I52" s="1720"/>
      <c r="J52" s="1721" t="s">
        <v>1044</v>
      </c>
      <c r="K52" s="1722"/>
      <c r="L52" s="379"/>
    </row>
    <row r="53" spans="1:12" ht="14.4" x14ac:dyDescent="0.25">
      <c r="A53" s="256"/>
      <c r="B53" s="256"/>
      <c r="C53" s="1288"/>
      <c r="D53" s="1288"/>
      <c r="E53" s="2422" t="s">
        <v>1041</v>
      </c>
      <c r="F53" s="2423"/>
      <c r="G53" s="2423"/>
      <c r="H53" s="2423"/>
      <c r="I53" s="1703"/>
      <c r="J53" s="1710" t="s">
        <v>1036</v>
      </c>
      <c r="K53" s="1288"/>
    </row>
    <row r="54" spans="1:12" ht="14.4" x14ac:dyDescent="0.25">
      <c r="A54" s="256"/>
      <c r="B54" s="256"/>
      <c r="C54" s="1288"/>
      <c r="D54" s="1288"/>
      <c r="E54" s="2422" t="s">
        <v>1042</v>
      </c>
      <c r="F54" s="2423"/>
      <c r="G54" s="2423"/>
      <c r="H54" s="2423"/>
      <c r="I54" s="1703"/>
      <c r="J54" s="1710" t="s">
        <v>1036</v>
      </c>
      <c r="K54" s="1288"/>
    </row>
    <row r="55" spans="1:12" ht="9.75" customHeight="1" x14ac:dyDescent="0.25">
      <c r="A55" s="256"/>
      <c r="B55" s="256"/>
      <c r="C55" s="1288"/>
      <c r="D55" s="1288"/>
      <c r="E55" s="2422"/>
      <c r="F55" s="2423"/>
      <c r="G55" s="2423"/>
      <c r="H55" s="2423"/>
      <c r="I55" s="1703"/>
      <c r="J55" s="1710"/>
      <c r="K55" s="1288"/>
    </row>
    <row r="56" spans="1:12" ht="14.4" x14ac:dyDescent="0.25">
      <c r="A56" s="256"/>
      <c r="B56" s="256"/>
      <c r="C56" s="1288"/>
      <c r="D56" s="1288"/>
      <c r="E56" s="2424" t="s">
        <v>1043</v>
      </c>
      <c r="F56" s="2425"/>
      <c r="G56" s="2425"/>
      <c r="H56" s="2425"/>
      <c r="I56" s="1705"/>
      <c r="J56" s="1718" t="s">
        <v>1036</v>
      </c>
      <c r="K56" s="1288"/>
    </row>
    <row r="57" spans="1:12" ht="14.4" x14ac:dyDescent="0.25">
      <c r="A57" s="256"/>
      <c r="B57" s="256"/>
      <c r="C57" s="1288"/>
      <c r="D57" s="1288"/>
      <c r="E57" s="1694" t="s">
        <v>1045</v>
      </c>
      <c r="F57" s="1288"/>
      <c r="G57" s="1288"/>
      <c r="H57" s="1288"/>
      <c r="I57" s="1288"/>
      <c r="J57" s="1288"/>
      <c r="K57" s="1288"/>
    </row>
    <row r="58" spans="1:12" ht="14.1" customHeight="1" x14ac:dyDescent="0.25">
      <c r="A58" s="256"/>
      <c r="B58" s="256"/>
      <c r="C58" s="1288"/>
      <c r="D58" s="1288"/>
      <c r="E58" s="1288"/>
      <c r="F58" s="1288"/>
      <c r="G58" s="1288"/>
      <c r="H58" s="1288"/>
      <c r="I58" s="1288"/>
      <c r="J58" s="1288"/>
      <c r="K58" s="1288"/>
    </row>
    <row r="59" spans="1:12" s="249" customFormat="1" ht="14.4" x14ac:dyDescent="0.25">
      <c r="A59" s="256"/>
      <c r="B59" s="256"/>
      <c r="C59" s="1691" t="s">
        <v>286</v>
      </c>
      <c r="D59" s="1692">
        <f>D4</f>
        <v>10.3</v>
      </c>
      <c r="E59" s="1693" t="s">
        <v>1567</v>
      </c>
      <c r="F59" s="1288"/>
      <c r="G59" s="1288"/>
      <c r="H59" s="1288"/>
      <c r="I59" s="1288"/>
      <c r="J59" s="1288"/>
      <c r="K59" s="1288"/>
    </row>
    <row r="60" spans="1:12" ht="6.75" customHeight="1" x14ac:dyDescent="0.25">
      <c r="A60" s="256"/>
      <c r="B60" s="256"/>
      <c r="C60" s="1288"/>
      <c r="D60" s="1288"/>
      <c r="E60" s="1694"/>
      <c r="F60" s="1288"/>
      <c r="G60" s="1288"/>
      <c r="H60" s="1288"/>
      <c r="I60" s="1288"/>
      <c r="J60" s="1288"/>
      <c r="K60" s="1288"/>
    </row>
    <row r="61" spans="1:12" ht="14.4" x14ac:dyDescent="0.25">
      <c r="A61" s="256"/>
      <c r="B61" s="256"/>
      <c r="C61" s="1288"/>
      <c r="D61" s="1288"/>
      <c r="E61" s="1693" t="s">
        <v>1046</v>
      </c>
      <c r="F61" s="1288"/>
      <c r="G61" s="1288"/>
      <c r="H61" s="1288"/>
      <c r="I61" s="1288"/>
      <c r="J61" s="1288"/>
      <c r="K61" s="1288"/>
    </row>
    <row r="62" spans="1:12" ht="42.75" customHeight="1" x14ac:dyDescent="0.25">
      <c r="A62" s="256"/>
      <c r="B62" s="256"/>
      <c r="C62" s="1288"/>
      <c r="D62" s="1288"/>
      <c r="E62" s="2418" t="s">
        <v>1915</v>
      </c>
      <c r="F62" s="2418"/>
      <c r="G62" s="2418"/>
      <c r="H62" s="2418"/>
      <c r="I62" s="2418"/>
      <c r="J62" s="2418"/>
      <c r="K62" s="2418"/>
    </row>
    <row r="63" spans="1:12" ht="14.4" x14ac:dyDescent="0.25">
      <c r="A63" s="256"/>
      <c r="B63" s="256"/>
      <c r="C63" s="1288"/>
      <c r="D63" s="1288"/>
      <c r="E63" s="1719"/>
      <c r="F63" s="1720"/>
      <c r="G63" s="1720"/>
      <c r="H63" s="1720"/>
      <c r="I63" s="1720"/>
      <c r="J63" s="1721" t="s">
        <v>1044</v>
      </c>
      <c r="K63" s="1288"/>
    </row>
    <row r="64" spans="1:12" ht="14.4" x14ac:dyDescent="0.25">
      <c r="A64" s="256"/>
      <c r="B64" s="256"/>
      <c r="C64" s="1288"/>
      <c r="D64" s="1288"/>
      <c r="E64" s="2422" t="s">
        <v>1047</v>
      </c>
      <c r="F64" s="2423"/>
      <c r="G64" s="2423"/>
      <c r="H64" s="2423"/>
      <c r="I64" s="1703"/>
      <c r="J64" s="1710" t="s">
        <v>1036</v>
      </c>
      <c r="K64" s="1288"/>
    </row>
    <row r="65" spans="1:11" ht="14.4" x14ac:dyDescent="0.25">
      <c r="A65" s="256"/>
      <c r="B65" s="256"/>
      <c r="C65" s="1288"/>
      <c r="D65" s="1288"/>
      <c r="E65" s="2422" t="s">
        <v>1048</v>
      </c>
      <c r="F65" s="2423"/>
      <c r="G65" s="2423"/>
      <c r="H65" s="2423"/>
      <c r="I65" s="1703"/>
      <c r="J65" s="1710" t="s">
        <v>1036</v>
      </c>
      <c r="K65" s="1288"/>
    </row>
    <row r="66" spans="1:11" ht="14.4" x14ac:dyDescent="0.25">
      <c r="A66" s="256"/>
      <c r="B66" s="256"/>
      <c r="C66" s="1288"/>
      <c r="D66" s="1288"/>
      <c r="E66" s="2422"/>
      <c r="F66" s="2423"/>
      <c r="G66" s="2423"/>
      <c r="H66" s="2423"/>
      <c r="I66" s="1703"/>
      <c r="J66" s="1710"/>
      <c r="K66" s="1288"/>
    </row>
    <row r="67" spans="1:11" ht="14.4" x14ac:dyDescent="0.25">
      <c r="A67" s="256"/>
      <c r="B67" s="256"/>
      <c r="C67" s="1288"/>
      <c r="D67" s="1288"/>
      <c r="E67" s="2424" t="s">
        <v>1043</v>
      </c>
      <c r="F67" s="2425"/>
      <c r="G67" s="2425"/>
      <c r="H67" s="2425"/>
      <c r="I67" s="1705"/>
      <c r="J67" s="1718" t="s">
        <v>1036</v>
      </c>
      <c r="K67" s="1288"/>
    </row>
    <row r="68" spans="1:11" ht="14.4" x14ac:dyDescent="0.25">
      <c r="A68" s="256"/>
      <c r="B68" s="256"/>
      <c r="C68" s="1288"/>
      <c r="D68" s="1288"/>
      <c r="E68" s="1694" t="s">
        <v>1049</v>
      </c>
      <c r="F68" s="1288"/>
      <c r="G68" s="1288"/>
      <c r="H68" s="1288"/>
      <c r="I68" s="1288"/>
      <c r="J68" s="1288"/>
      <c r="K68" s="1288"/>
    </row>
    <row r="69" spans="1:11" ht="14.4" x14ac:dyDescent="0.25">
      <c r="A69" s="256"/>
      <c r="B69" s="256"/>
      <c r="C69" s="1288"/>
      <c r="D69" s="1288"/>
      <c r="E69" s="1288"/>
      <c r="F69" s="1288"/>
      <c r="G69" s="1288"/>
      <c r="H69" s="1288"/>
      <c r="I69" s="1288"/>
      <c r="J69" s="1288"/>
      <c r="K69" s="1288"/>
    </row>
    <row r="70" spans="1:11" ht="14.4" x14ac:dyDescent="0.25">
      <c r="A70" s="256"/>
      <c r="B70" s="256"/>
      <c r="C70" s="1288"/>
      <c r="D70" s="1288"/>
      <c r="E70" s="1693" t="s">
        <v>1050</v>
      </c>
      <c r="F70" s="1288"/>
      <c r="G70" s="1288"/>
      <c r="H70" s="1288"/>
      <c r="I70" s="1288"/>
      <c r="J70" s="1288"/>
      <c r="K70" s="1288"/>
    </row>
    <row r="71" spans="1:11" ht="82.8" x14ac:dyDescent="0.25">
      <c r="A71" s="256"/>
      <c r="B71" s="256"/>
      <c r="C71" s="1288"/>
      <c r="D71" s="1288"/>
      <c r="E71" s="1723" t="s">
        <v>1051</v>
      </c>
      <c r="F71" s="1720"/>
      <c r="G71" s="1700" t="s">
        <v>1054</v>
      </c>
      <c r="H71" s="1700" t="s">
        <v>1015</v>
      </c>
      <c r="I71" s="1700" t="str">
        <f>"Percentage owned "&amp;'Merge Details_Printing instr'!$A$19&amp;" (%)"</f>
        <v>Percentage owned 2024 (%)</v>
      </c>
      <c r="J71" s="1701" t="str">
        <f>"Percentage owned "&amp;'Merge Details_Printing instr'!$A$20&amp;" (%)"</f>
        <v>Percentage owned 2023 (%)</v>
      </c>
      <c r="K71" s="1288"/>
    </row>
    <row r="72" spans="1:11" s="249" customFormat="1" ht="14.4" x14ac:dyDescent="0.25">
      <c r="A72" s="256"/>
      <c r="B72" s="256"/>
      <c r="C72" s="1288"/>
      <c r="D72" s="1288"/>
      <c r="E72" s="1702"/>
      <c r="F72" s="1703"/>
      <c r="G72" s="1703"/>
      <c r="H72" s="1703"/>
      <c r="I72" s="1703"/>
      <c r="J72" s="1704"/>
      <c r="K72" s="1288"/>
    </row>
    <row r="73" spans="1:11" ht="14.4" x14ac:dyDescent="0.25">
      <c r="A73" s="256"/>
      <c r="B73" s="256"/>
      <c r="C73" s="1288"/>
      <c r="D73" s="1288"/>
      <c r="E73" s="1724" t="s">
        <v>1052</v>
      </c>
      <c r="F73" s="1703"/>
      <c r="G73" s="1725" t="s">
        <v>1036</v>
      </c>
      <c r="H73" s="1725" t="s">
        <v>1016</v>
      </c>
      <c r="I73" s="1725" t="s">
        <v>1036</v>
      </c>
      <c r="J73" s="1726" t="s">
        <v>1036</v>
      </c>
      <c r="K73" s="1288"/>
    </row>
    <row r="74" spans="1:11" ht="14.4" x14ac:dyDescent="0.25">
      <c r="A74" s="256"/>
      <c r="B74" s="256"/>
      <c r="C74" s="1288"/>
      <c r="D74" s="1288"/>
      <c r="E74" s="1727" t="s">
        <v>1053</v>
      </c>
      <c r="F74" s="1705"/>
      <c r="G74" s="1728" t="s">
        <v>1036</v>
      </c>
      <c r="H74" s="1728" t="s">
        <v>1016</v>
      </c>
      <c r="I74" s="1728" t="s">
        <v>1036</v>
      </c>
      <c r="J74" s="1729" t="s">
        <v>1036</v>
      </c>
      <c r="K74" s="1288"/>
    </row>
    <row r="75" spans="1:11" ht="14.4" x14ac:dyDescent="0.25">
      <c r="A75" s="256"/>
      <c r="B75" s="256"/>
      <c r="C75" s="1288"/>
      <c r="D75" s="1288"/>
      <c r="E75" s="2418" t="s">
        <v>1055</v>
      </c>
      <c r="F75" s="2418"/>
      <c r="G75" s="2418"/>
      <c r="H75" s="2418"/>
      <c r="I75" s="2418"/>
      <c r="J75" s="2418"/>
      <c r="K75" s="2418"/>
    </row>
    <row r="76" spans="1:11" ht="48.75" customHeight="1" x14ac:dyDescent="0.25">
      <c r="A76" s="256"/>
      <c r="B76" s="256"/>
      <c r="C76" s="1288"/>
      <c r="D76" s="1288"/>
      <c r="E76" s="2419" t="s">
        <v>1320</v>
      </c>
      <c r="F76" s="2419"/>
      <c r="G76" s="2419"/>
      <c r="H76" s="2419"/>
      <c r="I76" s="2419"/>
      <c r="J76" s="2419"/>
      <c r="K76" s="2419"/>
    </row>
    <row r="77" spans="1:11" ht="49.5" customHeight="1" x14ac:dyDescent="0.25">
      <c r="A77" s="256"/>
      <c r="B77" s="256"/>
      <c r="C77" s="1288"/>
      <c r="D77" s="1288"/>
      <c r="E77" s="2419" t="s">
        <v>1321</v>
      </c>
      <c r="F77" s="2419"/>
      <c r="G77" s="2419"/>
      <c r="H77" s="2419"/>
      <c r="I77" s="2419"/>
      <c r="J77" s="2419"/>
      <c r="K77" s="2419"/>
    </row>
    <row r="78" spans="1:11" ht="14.4" x14ac:dyDescent="0.25">
      <c r="A78" s="256"/>
      <c r="B78" s="256"/>
      <c r="C78" s="1288"/>
      <c r="D78" s="1288"/>
      <c r="E78" s="1288"/>
      <c r="F78" s="1288"/>
      <c r="G78" s="1288"/>
      <c r="H78" s="1288"/>
      <c r="I78" s="1288"/>
      <c r="J78" s="1288"/>
      <c r="K78" s="1288"/>
    </row>
    <row r="79" spans="1:11" ht="14.4" x14ac:dyDescent="0.25">
      <c r="A79" s="256"/>
      <c r="B79" s="256"/>
      <c r="C79" s="1288"/>
      <c r="D79" s="1288"/>
      <c r="E79" s="1693" t="s">
        <v>1726</v>
      </c>
      <c r="F79" s="1288"/>
      <c r="G79" s="1288"/>
      <c r="H79" s="1288"/>
      <c r="I79" s="1288"/>
      <c r="J79" s="1288"/>
      <c r="K79" s="1288"/>
    </row>
    <row r="80" spans="1:11" ht="42" customHeight="1" x14ac:dyDescent="0.25">
      <c r="A80" s="256"/>
      <c r="B80" s="256"/>
      <c r="C80" s="1288"/>
      <c r="D80" s="1288"/>
      <c r="E80" s="2418" t="s">
        <v>1056</v>
      </c>
      <c r="F80" s="2418"/>
      <c r="G80" s="2418"/>
      <c r="H80" s="2418"/>
      <c r="I80" s="2418"/>
      <c r="J80" s="2418"/>
      <c r="K80" s="2418"/>
    </row>
    <row r="81" spans="1:11" ht="14.4" x14ac:dyDescent="0.25">
      <c r="A81" s="256"/>
      <c r="B81" s="256"/>
      <c r="C81" s="1288"/>
      <c r="D81" s="1288"/>
      <c r="E81" s="2420" t="s">
        <v>1057</v>
      </c>
      <c r="F81" s="2421"/>
      <c r="G81" s="2421"/>
      <c r="H81" s="2421"/>
      <c r="I81" s="1706">
        <f>'Merge Details_Printing instr'!$A$19</f>
        <v>2024</v>
      </c>
      <c r="J81" s="1707">
        <f>'Merge Details_Printing instr'!$A$20</f>
        <v>2023</v>
      </c>
      <c r="K81" s="1288"/>
    </row>
    <row r="82" spans="1:11" s="249" customFormat="1" ht="6" customHeight="1" x14ac:dyDescent="0.25">
      <c r="A82" s="256"/>
      <c r="B82" s="256"/>
      <c r="C82" s="1288"/>
      <c r="D82" s="1288"/>
      <c r="E82" s="1702"/>
      <c r="F82" s="1703"/>
      <c r="G82" s="1703"/>
      <c r="H82" s="1703"/>
      <c r="I82" s="1730"/>
      <c r="J82" s="1731"/>
      <c r="K82" s="1288"/>
    </row>
    <row r="83" spans="1:11" ht="14.4" x14ac:dyDescent="0.25">
      <c r="A83" s="256"/>
      <c r="B83" s="256"/>
      <c r="C83" s="1288"/>
      <c r="D83" s="1288"/>
      <c r="E83" s="2422" t="s">
        <v>1065</v>
      </c>
      <c r="F83" s="2423"/>
      <c r="G83" s="2423"/>
      <c r="H83" s="2423"/>
      <c r="I83" s="1703"/>
      <c r="J83" s="1704"/>
      <c r="K83" s="1288"/>
    </row>
    <row r="84" spans="1:11" s="249" customFormat="1" ht="6" customHeight="1" x14ac:dyDescent="0.25">
      <c r="A84" s="256"/>
      <c r="B84" s="256"/>
      <c r="C84" s="1288"/>
      <c r="D84" s="1288"/>
      <c r="E84" s="1702"/>
      <c r="F84" s="1703"/>
      <c r="G84" s="1703"/>
      <c r="H84" s="1703"/>
      <c r="I84" s="1703"/>
      <c r="J84" s="1704"/>
      <c r="K84" s="1288"/>
    </row>
    <row r="85" spans="1:11" ht="14.4" x14ac:dyDescent="0.25">
      <c r="A85" s="256"/>
      <c r="B85" s="256"/>
      <c r="C85" s="1288"/>
      <c r="D85" s="1288"/>
      <c r="E85" s="2422" t="s">
        <v>1058</v>
      </c>
      <c r="F85" s="2423"/>
      <c r="G85" s="2423"/>
      <c r="H85" s="2423"/>
      <c r="I85" s="1703"/>
      <c r="J85" s="1704"/>
      <c r="K85" s="1288"/>
    </row>
    <row r="86" spans="1:11" s="249" customFormat="1" ht="6" customHeight="1" x14ac:dyDescent="0.25">
      <c r="A86" s="256"/>
      <c r="B86" s="256"/>
      <c r="C86" s="1288"/>
      <c r="D86" s="1288"/>
      <c r="E86" s="1702"/>
      <c r="F86" s="1703"/>
      <c r="G86" s="1703"/>
      <c r="H86" s="1703"/>
      <c r="I86" s="1703"/>
      <c r="J86" s="1704"/>
      <c r="K86" s="1288"/>
    </row>
    <row r="87" spans="1:11" ht="14.4" x14ac:dyDescent="0.25">
      <c r="A87" s="256"/>
      <c r="B87" s="256"/>
      <c r="C87" s="1288"/>
      <c r="D87" s="1288"/>
      <c r="E87" s="2426" t="s">
        <v>1027</v>
      </c>
      <c r="F87" s="2427"/>
      <c r="G87" s="2427"/>
      <c r="H87" s="2427"/>
      <c r="I87" s="1703"/>
      <c r="J87" s="1704"/>
      <c r="K87" s="1288"/>
    </row>
    <row r="88" spans="1:11" ht="14.4" x14ac:dyDescent="0.25">
      <c r="A88" s="256"/>
      <c r="B88" s="256"/>
      <c r="C88" s="1288"/>
      <c r="D88" s="1288"/>
      <c r="E88" s="2422" t="s">
        <v>39</v>
      </c>
      <c r="F88" s="2423"/>
      <c r="G88" s="2423"/>
      <c r="H88" s="2423"/>
      <c r="I88" s="1703"/>
      <c r="J88" s="1704"/>
      <c r="K88" s="1288"/>
    </row>
    <row r="89" spans="1:11" ht="14.4" x14ac:dyDescent="0.25">
      <c r="A89" s="256"/>
      <c r="B89" s="256"/>
      <c r="C89" s="1288"/>
      <c r="D89" s="1288"/>
      <c r="E89" s="2422" t="s">
        <v>85</v>
      </c>
      <c r="F89" s="2423"/>
      <c r="G89" s="2423"/>
      <c r="H89" s="2423"/>
      <c r="I89" s="1703"/>
      <c r="J89" s="1704"/>
      <c r="K89" s="1288"/>
    </row>
    <row r="90" spans="1:11" ht="14.4" x14ac:dyDescent="0.25">
      <c r="A90" s="256"/>
      <c r="B90" s="256"/>
      <c r="C90" s="1288"/>
      <c r="D90" s="1288"/>
      <c r="E90" s="2422" t="s">
        <v>150</v>
      </c>
      <c r="F90" s="2423"/>
      <c r="G90" s="2423"/>
      <c r="H90" s="2423"/>
      <c r="I90" s="1703"/>
      <c r="J90" s="1704"/>
      <c r="K90" s="1288"/>
    </row>
    <row r="91" spans="1:11" ht="14.4" x14ac:dyDescent="0.25">
      <c r="A91" s="256"/>
      <c r="B91" s="256"/>
      <c r="C91" s="1288"/>
      <c r="D91" s="1288"/>
      <c r="E91" s="2422" t="s">
        <v>1313</v>
      </c>
      <c r="F91" s="2423"/>
      <c r="G91" s="2423"/>
      <c r="H91" s="2423"/>
      <c r="I91" s="1703"/>
      <c r="J91" s="1704"/>
      <c r="K91" s="1288"/>
    </row>
    <row r="92" spans="1:11" ht="14.4" x14ac:dyDescent="0.25">
      <c r="A92" s="256"/>
      <c r="B92" s="256"/>
      <c r="C92" s="1288"/>
      <c r="D92" s="1288"/>
      <c r="E92" s="2422" t="s">
        <v>181</v>
      </c>
      <c r="F92" s="2423"/>
      <c r="G92" s="2423"/>
      <c r="H92" s="2423"/>
      <c r="I92" s="1703"/>
      <c r="J92" s="1704"/>
      <c r="K92" s="1288"/>
    </row>
    <row r="93" spans="1:11" ht="14.4" x14ac:dyDescent="0.25">
      <c r="A93" s="256"/>
      <c r="B93" s="256"/>
      <c r="C93" s="1288"/>
      <c r="D93" s="1288"/>
      <c r="E93" s="2422" t="s">
        <v>1059</v>
      </c>
      <c r="F93" s="2423"/>
      <c r="G93" s="2423"/>
      <c r="H93" s="2423"/>
      <c r="I93" s="1703"/>
      <c r="J93" s="1704"/>
      <c r="K93" s="1288"/>
    </row>
    <row r="94" spans="1:11" ht="14.4" x14ac:dyDescent="0.25">
      <c r="A94" s="256"/>
      <c r="B94" s="256"/>
      <c r="C94" s="1288"/>
      <c r="D94" s="1288"/>
      <c r="E94" s="2422" t="s">
        <v>154</v>
      </c>
      <c r="F94" s="2423"/>
      <c r="G94" s="2423"/>
      <c r="H94" s="2423"/>
      <c r="I94" s="1703"/>
      <c r="J94" s="1704"/>
      <c r="K94" s="1288"/>
    </row>
    <row r="95" spans="1:11" ht="14.4" x14ac:dyDescent="0.25">
      <c r="A95" s="256"/>
      <c r="B95" s="256"/>
      <c r="C95" s="1288"/>
      <c r="D95" s="1288"/>
      <c r="E95" s="2422" t="s">
        <v>1028</v>
      </c>
      <c r="F95" s="2423"/>
      <c r="G95" s="2423"/>
      <c r="H95" s="2423"/>
      <c r="I95" s="1703"/>
      <c r="J95" s="1704"/>
      <c r="K95" s="1288"/>
    </row>
    <row r="96" spans="1:11" s="249" customFormat="1" ht="14.4" x14ac:dyDescent="0.25">
      <c r="A96" s="256"/>
      <c r="B96" s="256"/>
      <c r="C96" s="1288"/>
      <c r="D96" s="1288"/>
      <c r="E96" s="1702"/>
      <c r="F96" s="1703"/>
      <c r="G96" s="1703"/>
      <c r="H96" s="1703"/>
      <c r="I96" s="1703"/>
      <c r="J96" s="1704"/>
      <c r="K96" s="1288"/>
    </row>
    <row r="97" spans="1:18" ht="14.4" x14ac:dyDescent="0.25">
      <c r="A97" s="256"/>
      <c r="B97" s="256"/>
      <c r="C97" s="1288"/>
      <c r="D97" s="1288"/>
      <c r="E97" s="2426" t="s">
        <v>1029</v>
      </c>
      <c r="F97" s="2427"/>
      <c r="G97" s="2427"/>
      <c r="H97" s="2427"/>
      <c r="I97" s="1703"/>
      <c r="J97" s="1704"/>
      <c r="K97" s="1288"/>
    </row>
    <row r="98" spans="1:18" ht="14.4" x14ac:dyDescent="0.25">
      <c r="A98" s="256"/>
      <c r="B98" s="256"/>
      <c r="C98" s="1288"/>
      <c r="D98" s="1288"/>
      <c r="E98" s="2422" t="s">
        <v>154</v>
      </c>
      <c r="F98" s="2423"/>
      <c r="G98" s="2423"/>
      <c r="H98" s="2423"/>
      <c r="I98" s="1703"/>
      <c r="J98" s="1704"/>
      <c r="K98" s="1288"/>
    </row>
    <row r="99" spans="1:18" ht="16.5" customHeight="1" x14ac:dyDescent="0.25">
      <c r="A99" s="256"/>
      <c r="B99" s="256"/>
      <c r="C99" s="1288"/>
      <c r="D99" s="1288"/>
      <c r="E99" s="2422" t="s">
        <v>1060</v>
      </c>
      <c r="F99" s="2423"/>
      <c r="G99" s="2423"/>
      <c r="H99" s="2423"/>
      <c r="I99" s="1703"/>
      <c r="J99" s="1704"/>
      <c r="K99" s="1288"/>
    </row>
    <row r="100" spans="1:18" ht="16.5" customHeight="1" x14ac:dyDescent="0.25">
      <c r="A100" s="256"/>
      <c r="B100" s="256"/>
      <c r="C100" s="1288"/>
      <c r="D100" s="1288"/>
      <c r="E100" s="2422" t="s">
        <v>75</v>
      </c>
      <c r="F100" s="2423"/>
      <c r="G100" s="2423"/>
      <c r="H100" s="2423"/>
      <c r="I100" s="1703"/>
      <c r="J100" s="1704"/>
      <c r="K100" s="1288"/>
    </row>
    <row r="101" spans="1:18" ht="16.5" customHeight="1" x14ac:dyDescent="0.25">
      <c r="A101" s="256"/>
      <c r="B101" s="256"/>
      <c r="C101" s="1288"/>
      <c r="D101" s="1288"/>
      <c r="E101" s="2422" t="s">
        <v>1061</v>
      </c>
      <c r="F101" s="2423"/>
      <c r="G101" s="2423"/>
      <c r="H101" s="2423"/>
      <c r="I101" s="1703"/>
      <c r="J101" s="1704"/>
      <c r="K101" s="1288"/>
    </row>
    <row r="102" spans="1:18" ht="16.5" customHeight="1" x14ac:dyDescent="0.25">
      <c r="A102" s="256"/>
      <c r="B102" s="256"/>
      <c r="C102" s="1288"/>
      <c r="D102" s="1288"/>
      <c r="E102" s="2422" t="s">
        <v>1062</v>
      </c>
      <c r="F102" s="2423"/>
      <c r="G102" s="2423"/>
      <c r="H102" s="2423"/>
      <c r="I102" s="1703"/>
      <c r="J102" s="1704"/>
      <c r="K102" s="1288"/>
    </row>
    <row r="103" spans="1:18" ht="16.5" customHeight="1" x14ac:dyDescent="0.25">
      <c r="A103" s="256"/>
      <c r="B103" s="256"/>
      <c r="C103" s="1288"/>
      <c r="D103" s="1288"/>
      <c r="E103" s="2422" t="s">
        <v>1063</v>
      </c>
      <c r="F103" s="2423"/>
      <c r="G103" s="2423"/>
      <c r="H103" s="2423"/>
      <c r="I103" s="1703"/>
      <c r="J103" s="1704"/>
      <c r="K103" s="1288"/>
    </row>
    <row r="104" spans="1:18" ht="16.5" customHeight="1" x14ac:dyDescent="0.25">
      <c r="A104" s="256"/>
      <c r="B104" s="256"/>
      <c r="C104" s="1288"/>
      <c r="D104" s="1288"/>
      <c r="E104" s="2422" t="s">
        <v>1064</v>
      </c>
      <c r="F104" s="2423"/>
      <c r="G104" s="2423"/>
      <c r="H104" s="2423"/>
      <c r="I104" s="1703"/>
      <c r="J104" s="1704"/>
      <c r="K104" s="1288"/>
    </row>
    <row r="105" spans="1:18" ht="16.5" customHeight="1" x14ac:dyDescent="0.25">
      <c r="A105" s="256"/>
      <c r="B105" s="256"/>
      <c r="C105" s="1288"/>
      <c r="D105" s="1288"/>
      <c r="E105" s="2422" t="s">
        <v>421</v>
      </c>
      <c r="F105" s="2423"/>
      <c r="G105" s="2423"/>
      <c r="H105" s="2423"/>
      <c r="I105" s="1703"/>
      <c r="J105" s="1704"/>
      <c r="K105" s="1288"/>
    </row>
    <row r="106" spans="1:18" ht="16.5" customHeight="1" x14ac:dyDescent="0.25">
      <c r="A106" s="256"/>
      <c r="B106" s="256"/>
      <c r="C106" s="1288"/>
      <c r="D106" s="1288"/>
      <c r="E106" s="2422" t="s">
        <v>1031</v>
      </c>
      <c r="F106" s="2423"/>
      <c r="G106" s="2423"/>
      <c r="H106" s="2423"/>
      <c r="I106" s="1703"/>
      <c r="J106" s="1704"/>
      <c r="K106" s="1288"/>
    </row>
    <row r="107" spans="1:18" s="249" customFormat="1" ht="6" customHeight="1" x14ac:dyDescent="0.25">
      <c r="A107" s="256"/>
      <c r="B107" s="256"/>
      <c r="C107" s="1288"/>
      <c r="D107" s="1288"/>
      <c r="E107" s="1702"/>
      <c r="F107" s="1703"/>
      <c r="G107" s="1703"/>
      <c r="H107" s="1703"/>
      <c r="I107" s="1703"/>
      <c r="J107" s="1704"/>
      <c r="K107" s="1288"/>
    </row>
    <row r="108" spans="1:18" ht="14.4" x14ac:dyDescent="0.25">
      <c r="A108" s="256"/>
      <c r="B108" s="256"/>
      <c r="C108" s="1288"/>
      <c r="D108" s="1288"/>
      <c r="E108" s="2426" t="s">
        <v>1032</v>
      </c>
      <c r="F108" s="2427"/>
      <c r="G108" s="2427"/>
      <c r="H108" s="2427"/>
      <c r="I108" s="1703"/>
      <c r="J108" s="1704"/>
      <c r="K108" s="1288"/>
    </row>
    <row r="109" spans="1:18" ht="14.4" x14ac:dyDescent="0.25">
      <c r="A109" s="256"/>
      <c r="B109" s="256"/>
      <c r="C109" s="1288"/>
      <c r="D109" s="1288"/>
      <c r="E109" s="2422" t="s">
        <v>1031</v>
      </c>
      <c r="F109" s="2423"/>
      <c r="G109" s="2423"/>
      <c r="H109" s="2423"/>
      <c r="I109" s="1703"/>
      <c r="J109" s="1704"/>
      <c r="K109" s="1288"/>
    </row>
    <row r="110" spans="1:18" ht="16.5" customHeight="1" x14ac:dyDescent="0.25">
      <c r="A110" s="256"/>
      <c r="B110" s="256"/>
      <c r="C110" s="1288"/>
      <c r="D110" s="1288"/>
      <c r="E110" s="2422" t="s">
        <v>416</v>
      </c>
      <c r="F110" s="2423"/>
      <c r="G110" s="2423"/>
      <c r="H110" s="2423"/>
      <c r="I110" s="1703"/>
      <c r="J110" s="1704"/>
      <c r="K110" s="1288"/>
      <c r="L110" s="2431"/>
      <c r="M110" s="2431"/>
      <c r="N110" s="2431"/>
      <c r="O110" s="2431"/>
      <c r="P110" s="2431"/>
      <c r="Q110" s="2431"/>
      <c r="R110" s="2431"/>
    </row>
    <row r="111" spans="1:18" ht="16.5" customHeight="1" x14ac:dyDescent="0.25">
      <c r="A111" s="256"/>
      <c r="B111" s="256"/>
      <c r="C111" s="1288"/>
      <c r="D111" s="1288"/>
      <c r="E111" s="2422" t="s">
        <v>1033</v>
      </c>
      <c r="F111" s="2423"/>
      <c r="G111" s="2423"/>
      <c r="H111" s="2423"/>
      <c r="I111" s="1703"/>
      <c r="J111" s="1704"/>
      <c r="K111" s="1288"/>
    </row>
    <row r="112" spans="1:18" ht="16.5" customHeight="1" x14ac:dyDescent="0.25">
      <c r="A112" s="256"/>
      <c r="B112" s="256"/>
      <c r="C112" s="1288"/>
      <c r="D112" s="1288"/>
      <c r="E112" s="2424" t="s">
        <v>1034</v>
      </c>
      <c r="F112" s="2425"/>
      <c r="G112" s="2425"/>
      <c r="H112" s="2425"/>
      <c r="I112" s="1705"/>
      <c r="J112" s="1732"/>
      <c r="K112" s="1288"/>
    </row>
    <row r="113" spans="1:11" ht="14.4" x14ac:dyDescent="0.25">
      <c r="A113" s="256"/>
      <c r="B113" s="256"/>
      <c r="C113" s="1288"/>
      <c r="D113" s="1288"/>
      <c r="E113" s="1288"/>
      <c r="F113" s="1288"/>
      <c r="G113" s="1288"/>
      <c r="H113" s="1288"/>
      <c r="I113" s="1288"/>
      <c r="J113" s="1288"/>
      <c r="K113" s="1288"/>
    </row>
    <row r="114" spans="1:11" s="249" customFormat="1" ht="14.4" x14ac:dyDescent="0.25">
      <c r="A114" s="256"/>
      <c r="B114" s="256"/>
      <c r="C114" s="1691" t="s">
        <v>286</v>
      </c>
      <c r="D114" s="1692">
        <f>D4</f>
        <v>10.3</v>
      </c>
      <c r="E114" s="1693" t="s">
        <v>1567</v>
      </c>
      <c r="F114" s="1288"/>
      <c r="G114" s="1288"/>
      <c r="H114" s="1288"/>
      <c r="I114" s="1288"/>
      <c r="J114" s="1288"/>
      <c r="K114" s="1288"/>
    </row>
    <row r="115" spans="1:11" s="249" customFormat="1" ht="14.4" x14ac:dyDescent="0.25">
      <c r="A115" s="256"/>
      <c r="B115" s="256"/>
      <c r="C115" s="1288"/>
      <c r="D115" s="1288"/>
      <c r="E115" s="1288"/>
      <c r="F115" s="1288"/>
      <c r="G115" s="1288"/>
      <c r="H115" s="1288"/>
      <c r="I115" s="1288"/>
      <c r="J115" s="1288"/>
      <c r="K115" s="1288"/>
    </row>
    <row r="116" spans="1:11" ht="31.5" customHeight="1" x14ac:dyDescent="0.25">
      <c r="A116" s="256"/>
      <c r="B116" s="256"/>
      <c r="C116" s="1288"/>
      <c r="D116" s="1288"/>
      <c r="E116" s="2428" t="s">
        <v>1066</v>
      </c>
      <c r="F116" s="2428"/>
      <c r="G116" s="2428"/>
      <c r="H116" s="2428"/>
      <c r="I116" s="2428"/>
      <c r="J116" s="2428"/>
      <c r="K116" s="2428"/>
    </row>
    <row r="117" spans="1:11" ht="14.4" x14ac:dyDescent="0.25">
      <c r="A117" s="256"/>
      <c r="B117" s="256"/>
      <c r="C117" s="1288"/>
      <c r="D117" s="1288"/>
      <c r="E117" s="1719"/>
      <c r="F117" s="1720"/>
      <c r="G117" s="1720"/>
      <c r="H117" s="1720"/>
      <c r="I117" s="2029" t="s">
        <v>1071</v>
      </c>
      <c r="J117" s="1734" t="s">
        <v>1072</v>
      </c>
      <c r="K117" s="1288"/>
    </row>
    <row r="118" spans="1:11" s="249" customFormat="1" ht="14.4" x14ac:dyDescent="0.25">
      <c r="A118" s="256"/>
      <c r="B118" s="256"/>
      <c r="C118" s="1288"/>
      <c r="D118" s="1288"/>
      <c r="E118" s="1735" t="s">
        <v>1070</v>
      </c>
      <c r="F118" s="1703"/>
      <c r="G118" s="1703"/>
      <c r="H118" s="1736"/>
      <c r="I118" s="1703"/>
      <c r="J118" s="1704"/>
      <c r="K118" s="1288"/>
    </row>
    <row r="119" spans="1:11" ht="14.4" x14ac:dyDescent="0.25">
      <c r="A119" s="256"/>
      <c r="B119" s="256"/>
      <c r="C119" s="1288"/>
      <c r="D119" s="1288"/>
      <c r="E119" s="1737" t="s">
        <v>1073</v>
      </c>
      <c r="F119" s="1703"/>
      <c r="G119" s="1703"/>
      <c r="H119" s="1703"/>
      <c r="I119" s="1703"/>
      <c r="J119" s="1704"/>
      <c r="K119" s="1288"/>
    </row>
    <row r="120" spans="1:11" ht="14.4" x14ac:dyDescent="0.25">
      <c r="A120" s="256"/>
      <c r="B120" s="256"/>
      <c r="C120" s="1288"/>
      <c r="D120" s="1288"/>
      <c r="E120" s="1735" t="s">
        <v>1067</v>
      </c>
      <c r="F120" s="1703"/>
      <c r="G120" s="1703"/>
      <c r="H120" s="1703"/>
      <c r="I120" s="1703"/>
      <c r="J120" s="1704"/>
      <c r="K120" s="1288"/>
    </row>
    <row r="121" spans="1:11" ht="14.4" x14ac:dyDescent="0.25">
      <c r="A121" s="256"/>
      <c r="B121" s="256"/>
      <c r="C121" s="1288"/>
      <c r="D121" s="1288"/>
      <c r="E121" s="1737" t="s">
        <v>1068</v>
      </c>
      <c r="F121" s="1703"/>
      <c r="G121" s="1703"/>
      <c r="H121" s="1703"/>
      <c r="I121" s="1703"/>
      <c r="J121" s="1704"/>
      <c r="K121" s="1288"/>
    </row>
    <row r="122" spans="1:11" ht="14.4" x14ac:dyDescent="0.25">
      <c r="A122" s="256"/>
      <c r="B122" s="256"/>
      <c r="C122" s="1288"/>
      <c r="D122" s="1288"/>
      <c r="E122" s="1738" t="s">
        <v>1069</v>
      </c>
      <c r="F122" s="1705"/>
      <c r="G122" s="1705"/>
      <c r="H122" s="1705"/>
      <c r="I122" s="1705"/>
      <c r="J122" s="1732"/>
      <c r="K122" s="1288"/>
    </row>
    <row r="123" spans="1:11" s="249" customFormat="1" ht="14.4" x14ac:dyDescent="0.25">
      <c r="A123" s="539"/>
      <c r="B123" s="539"/>
      <c r="C123" s="1288"/>
      <c r="D123" s="1288"/>
      <c r="E123" s="1415"/>
      <c r="F123" s="1703"/>
      <c r="G123" s="1703"/>
      <c r="H123" s="1703"/>
      <c r="I123" s="1703"/>
      <c r="J123" s="1703"/>
      <c r="K123" s="1288"/>
    </row>
    <row r="124" spans="1:11" ht="14.4" x14ac:dyDescent="0.25">
      <c r="A124" s="256"/>
      <c r="B124" s="256"/>
      <c r="C124" s="1288"/>
      <c r="D124" s="1288"/>
      <c r="E124" s="1693" t="s">
        <v>1074</v>
      </c>
      <c r="F124" s="1288"/>
      <c r="G124" s="1288"/>
      <c r="H124" s="1288"/>
      <c r="I124" s="1288"/>
      <c r="J124" s="1288"/>
      <c r="K124" s="1288"/>
    </row>
    <row r="125" spans="1:11" ht="33.75" customHeight="1" x14ac:dyDescent="0.25">
      <c r="A125" s="256"/>
      <c r="B125" s="256"/>
      <c r="C125" s="1288"/>
      <c r="D125" s="1288"/>
      <c r="E125" s="2418" t="s">
        <v>1075</v>
      </c>
      <c r="F125" s="2418"/>
      <c r="G125" s="2418"/>
      <c r="H125" s="2418"/>
      <c r="I125" s="2418"/>
      <c r="J125" s="2418"/>
      <c r="K125" s="2418"/>
    </row>
    <row r="126" spans="1:11" ht="14.4" x14ac:dyDescent="0.25">
      <c r="A126" s="256"/>
      <c r="B126" s="256"/>
      <c r="C126" s="1288"/>
      <c r="D126" s="1288"/>
      <c r="E126" s="1719"/>
      <c r="F126" s="1720"/>
      <c r="G126" s="1720"/>
      <c r="H126" s="1720"/>
      <c r="I126" s="2029" t="s">
        <v>1071</v>
      </c>
      <c r="J126" s="1734" t="s">
        <v>1079</v>
      </c>
      <c r="K126" s="1288"/>
    </row>
    <row r="127" spans="1:11" ht="14.4" x14ac:dyDescent="0.25">
      <c r="A127" s="256"/>
      <c r="B127" s="256"/>
      <c r="C127" s="1288"/>
      <c r="D127" s="1288"/>
      <c r="E127" s="2422" t="s">
        <v>1076</v>
      </c>
      <c r="F127" s="2423"/>
      <c r="G127" s="2423"/>
      <c r="H127" s="2423"/>
      <c r="I127" s="1703"/>
      <c r="J127" s="1704"/>
      <c r="K127" s="1288"/>
    </row>
    <row r="128" spans="1:11" s="249" customFormat="1" ht="6" customHeight="1" x14ac:dyDescent="0.25">
      <c r="A128" s="256"/>
      <c r="B128" s="256"/>
      <c r="C128" s="1288"/>
      <c r="D128" s="1288"/>
      <c r="E128" s="1711"/>
      <c r="F128" s="1712"/>
      <c r="G128" s="1712"/>
      <c r="H128" s="1712"/>
      <c r="I128" s="1703"/>
      <c r="J128" s="1704"/>
      <c r="K128" s="1288"/>
    </row>
    <row r="129" spans="1:11" ht="14.4" x14ac:dyDescent="0.25">
      <c r="A129" s="256"/>
      <c r="B129" s="256"/>
      <c r="C129" s="1288"/>
      <c r="D129" s="1288"/>
      <c r="E129" s="2422" t="s">
        <v>1077</v>
      </c>
      <c r="F129" s="2423"/>
      <c r="G129" s="2423"/>
      <c r="H129" s="2423"/>
      <c r="I129" s="1703"/>
      <c r="J129" s="1704"/>
      <c r="K129" s="1288"/>
    </row>
    <row r="130" spans="1:11" ht="14.4" x14ac:dyDescent="0.25">
      <c r="A130" s="256"/>
      <c r="B130" s="256"/>
      <c r="C130" s="1288"/>
      <c r="D130" s="1288"/>
      <c r="E130" s="2422" t="s">
        <v>1078</v>
      </c>
      <c r="F130" s="2423"/>
      <c r="G130" s="2423"/>
      <c r="H130" s="2423"/>
      <c r="I130" s="1703"/>
      <c r="J130" s="1704"/>
      <c r="K130" s="1288"/>
    </row>
    <row r="131" spans="1:11" ht="14.4" x14ac:dyDescent="0.25">
      <c r="A131" s="256"/>
      <c r="B131" s="256"/>
      <c r="C131" s="1288"/>
      <c r="D131" s="1288"/>
      <c r="E131" s="2422" t="s">
        <v>1064</v>
      </c>
      <c r="F131" s="2423"/>
      <c r="G131" s="2423"/>
      <c r="H131" s="2423"/>
      <c r="I131" s="1703"/>
      <c r="J131" s="1704"/>
      <c r="K131" s="1288"/>
    </row>
    <row r="132" spans="1:11" ht="14.4" x14ac:dyDescent="0.25">
      <c r="A132" s="256"/>
      <c r="B132" s="256"/>
      <c r="C132" s="1288"/>
      <c r="D132" s="1288"/>
      <c r="E132" s="2422" t="s">
        <v>421</v>
      </c>
      <c r="F132" s="2423"/>
      <c r="G132" s="2423"/>
      <c r="H132" s="2423"/>
      <c r="I132" s="1703"/>
      <c r="J132" s="1704"/>
      <c r="K132" s="1288"/>
    </row>
    <row r="133" spans="1:11" ht="14.4" x14ac:dyDescent="0.25">
      <c r="A133" s="256"/>
      <c r="B133" s="256"/>
      <c r="C133" s="1288"/>
      <c r="D133" s="1288"/>
      <c r="E133" s="2424" t="s">
        <v>1031</v>
      </c>
      <c r="F133" s="2425"/>
      <c r="G133" s="2425"/>
      <c r="H133" s="2425"/>
      <c r="I133" s="1705"/>
      <c r="J133" s="1732"/>
      <c r="K133" s="1288"/>
    </row>
    <row r="134" spans="1:11" ht="14.4" x14ac:dyDescent="0.25">
      <c r="A134" s="256"/>
      <c r="B134" s="256"/>
      <c r="C134" s="1288"/>
      <c r="D134" s="1288"/>
      <c r="E134" s="1288"/>
      <c r="F134" s="1288"/>
      <c r="G134" s="1288"/>
      <c r="H134" s="1288"/>
      <c r="I134" s="1288"/>
      <c r="J134" s="1288"/>
      <c r="K134" s="1288"/>
    </row>
    <row r="135" spans="1:11" ht="14.4" x14ac:dyDescent="0.25">
      <c r="A135" s="256"/>
      <c r="B135" s="256"/>
      <c r="C135" s="1288"/>
      <c r="D135" s="1288"/>
      <c r="E135" s="1693" t="s">
        <v>1080</v>
      </c>
      <c r="F135" s="1288"/>
      <c r="G135" s="1288"/>
      <c r="H135" s="1288"/>
      <c r="I135" s="1288"/>
      <c r="J135" s="1288"/>
      <c r="K135" s="1288"/>
    </row>
    <row r="136" spans="1:11" ht="36.75" customHeight="1" x14ac:dyDescent="0.25">
      <c r="A136" s="256"/>
      <c r="B136" s="256"/>
      <c r="C136" s="1288"/>
      <c r="D136" s="1288"/>
      <c r="E136" s="2418" t="s">
        <v>1916</v>
      </c>
      <c r="F136" s="2418"/>
      <c r="G136" s="2418"/>
      <c r="H136" s="2418"/>
      <c r="I136" s="2418"/>
      <c r="J136" s="2418"/>
      <c r="K136" s="2418"/>
    </row>
    <row r="137" spans="1:11" s="249" customFormat="1" ht="14.4" x14ac:dyDescent="0.25">
      <c r="A137" s="256"/>
      <c r="B137" s="256"/>
      <c r="C137" s="1288"/>
      <c r="D137" s="1288"/>
      <c r="E137" s="1288"/>
      <c r="F137" s="1288"/>
      <c r="G137" s="1288"/>
      <c r="H137" s="1288"/>
      <c r="I137" s="1288"/>
      <c r="J137" s="1288"/>
      <c r="K137" s="1288"/>
    </row>
    <row r="138" spans="1:11" ht="14.4" x14ac:dyDescent="0.25">
      <c r="A138" s="256"/>
      <c r="B138" s="256"/>
      <c r="C138" s="1288"/>
      <c r="D138" s="1288"/>
      <c r="E138" s="1693" t="s">
        <v>1081</v>
      </c>
      <c r="F138" s="1288"/>
      <c r="G138" s="1288"/>
      <c r="H138" s="1288"/>
      <c r="I138" s="1288"/>
      <c r="J138" s="1288"/>
      <c r="K138" s="1288"/>
    </row>
    <row r="139" spans="1:11" ht="6" customHeight="1" x14ac:dyDescent="0.25">
      <c r="A139" s="256"/>
      <c r="B139" s="256"/>
      <c r="C139" s="1288"/>
      <c r="D139" s="1288"/>
      <c r="E139" s="1288"/>
      <c r="F139" s="1288"/>
      <c r="G139" s="1288"/>
      <c r="H139" s="1288"/>
      <c r="I139" s="1288"/>
      <c r="J139" s="1288"/>
      <c r="K139" s="1288"/>
    </row>
    <row r="140" spans="1:11" ht="14.4" x14ac:dyDescent="0.25">
      <c r="A140" s="256"/>
      <c r="B140" s="256"/>
      <c r="C140" s="1288"/>
      <c r="D140" s="1288"/>
      <c r="E140" s="2429" t="s">
        <v>1082</v>
      </c>
      <c r="F140" s="2429"/>
      <c r="G140" s="2429"/>
      <c r="H140" s="2429"/>
      <c r="I140" s="2430"/>
      <c r="J140" s="2430"/>
      <c r="K140" s="1288"/>
    </row>
    <row r="141" spans="1:11" ht="14.4" x14ac:dyDescent="0.25">
      <c r="A141" s="256"/>
      <c r="B141" s="256"/>
      <c r="C141" s="1288"/>
      <c r="D141" s="1288"/>
      <c r="E141" s="2429" t="s">
        <v>1083</v>
      </c>
      <c r="F141" s="2429"/>
      <c r="G141" s="2429"/>
      <c r="H141" s="2429"/>
      <c r="I141" s="2430"/>
      <c r="J141" s="2430"/>
      <c r="K141" s="1288"/>
    </row>
    <row r="142" spans="1:11" ht="6" customHeight="1" x14ac:dyDescent="0.25">
      <c r="A142" s="256"/>
      <c r="B142" s="256"/>
      <c r="C142" s="1288"/>
      <c r="D142" s="1288"/>
      <c r="E142" s="1288"/>
      <c r="F142" s="1288"/>
      <c r="G142" s="1288"/>
      <c r="H142" s="1288"/>
      <c r="I142" s="1288"/>
      <c r="J142" s="1288"/>
      <c r="K142" s="1288"/>
    </row>
    <row r="143" spans="1:11" ht="14.4" x14ac:dyDescent="0.25">
      <c r="A143" s="256"/>
      <c r="B143" s="256"/>
      <c r="C143" s="1288"/>
      <c r="D143" s="1288"/>
      <c r="E143" s="1693" t="s">
        <v>1084</v>
      </c>
      <c r="F143" s="1288"/>
      <c r="G143" s="1288"/>
      <c r="H143" s="1288"/>
      <c r="I143" s="1288"/>
      <c r="J143" s="1288"/>
      <c r="K143" s="1288"/>
    </row>
    <row r="144" spans="1:11" ht="41.4" x14ac:dyDescent="0.25">
      <c r="A144" s="256"/>
      <c r="B144" s="256"/>
      <c r="C144" s="1288"/>
      <c r="D144" s="1288"/>
      <c r="E144" s="1723" t="s">
        <v>1085</v>
      </c>
      <c r="F144" s="1720"/>
      <c r="G144" s="2434" t="s">
        <v>1015</v>
      </c>
      <c r="H144" s="2434"/>
      <c r="I144" s="1700" t="str">
        <f>"Percentage owned "&amp;'Merge Details_Printing instr'!$A$19&amp;" (%)"</f>
        <v>Percentage owned 2024 (%)</v>
      </c>
      <c r="J144" s="1701" t="str">
        <f>"Percentage owned "&amp;'Merge Details_Printing instr'!$A$20&amp;" (%)"</f>
        <v>Percentage owned 2023 (%)</v>
      </c>
      <c r="K144" s="1288"/>
    </row>
    <row r="145" spans="1:11" ht="14.4" x14ac:dyDescent="0.25">
      <c r="A145" s="256"/>
      <c r="B145" s="256"/>
      <c r="C145" s="1288"/>
      <c r="D145" s="1288"/>
      <c r="E145" s="1702"/>
      <c r="F145" s="1703"/>
      <c r="G145" s="1703"/>
      <c r="H145" s="1703"/>
      <c r="I145" s="1703"/>
      <c r="J145" s="1704"/>
      <c r="K145" s="1288"/>
    </row>
    <row r="146" spans="1:11" ht="14.4" x14ac:dyDescent="0.25">
      <c r="A146" s="256"/>
      <c r="B146" s="256"/>
      <c r="C146" s="1288"/>
      <c r="D146" s="1288"/>
      <c r="E146" s="1724" t="s">
        <v>1086</v>
      </c>
      <c r="F146" s="1703"/>
      <c r="G146" s="2437" t="s">
        <v>1016</v>
      </c>
      <c r="H146" s="2437"/>
      <c r="I146" s="1725" t="s">
        <v>1036</v>
      </c>
      <c r="J146" s="1726" t="s">
        <v>1036</v>
      </c>
      <c r="K146" s="1288"/>
    </row>
    <row r="147" spans="1:11" ht="14.4" x14ac:dyDescent="0.25">
      <c r="A147" s="256"/>
      <c r="B147" s="256"/>
      <c r="C147" s="1288"/>
      <c r="D147" s="1288"/>
      <c r="E147" s="1727" t="s">
        <v>1087</v>
      </c>
      <c r="F147" s="1705"/>
      <c r="G147" s="2438" t="s">
        <v>1016</v>
      </c>
      <c r="H147" s="2438"/>
      <c r="I147" s="1728" t="s">
        <v>1036</v>
      </c>
      <c r="J147" s="1729" t="s">
        <v>1036</v>
      </c>
      <c r="K147" s="1288"/>
    </row>
    <row r="148" spans="1:11" ht="14.4" x14ac:dyDescent="0.25">
      <c r="A148" s="256"/>
      <c r="B148" s="256"/>
      <c r="C148" s="1288"/>
      <c r="D148" s="1288"/>
      <c r="E148" s="2418" t="s">
        <v>1088</v>
      </c>
      <c r="F148" s="2418"/>
      <c r="G148" s="2418"/>
      <c r="H148" s="2418"/>
      <c r="I148" s="2418"/>
      <c r="J148" s="2418"/>
      <c r="K148" s="2418"/>
    </row>
    <row r="149" spans="1:11" ht="14.4" x14ac:dyDescent="0.25">
      <c r="A149" s="256"/>
      <c r="B149" s="256"/>
      <c r="C149" s="1288"/>
      <c r="D149" s="1288"/>
      <c r="E149" s="1288"/>
      <c r="F149" s="1288"/>
      <c r="G149" s="1288"/>
      <c r="H149" s="1288"/>
      <c r="I149" s="1288"/>
      <c r="J149" s="1288"/>
      <c r="K149" s="1288"/>
    </row>
    <row r="150" spans="1:11" ht="14.4" x14ac:dyDescent="0.25">
      <c r="A150" s="256"/>
      <c r="B150" s="256"/>
      <c r="C150" s="1288"/>
      <c r="D150" s="1288"/>
      <c r="E150" s="2432" t="s">
        <v>1086</v>
      </c>
      <c r="F150" s="2432"/>
      <c r="G150" s="2432"/>
      <c r="H150" s="2432"/>
      <c r="I150" s="2432"/>
      <c r="J150" s="2432"/>
      <c r="K150" s="2432"/>
    </row>
    <row r="151" spans="1:11" ht="33.75" customHeight="1" x14ac:dyDescent="0.25">
      <c r="A151" s="256"/>
      <c r="B151" s="256"/>
      <c r="C151" s="1288"/>
      <c r="D151" s="1288"/>
      <c r="E151" s="2419" t="s">
        <v>1089</v>
      </c>
      <c r="F151" s="2419"/>
      <c r="G151" s="2419"/>
      <c r="H151" s="2419"/>
      <c r="I151" s="2419"/>
      <c r="J151" s="2419"/>
      <c r="K151" s="2419"/>
    </row>
    <row r="152" spans="1:11" s="249" customFormat="1" ht="6.75" customHeight="1" x14ac:dyDescent="0.25">
      <c r="A152" s="256"/>
      <c r="B152" s="256"/>
      <c r="C152" s="1288"/>
      <c r="D152" s="1288"/>
      <c r="E152" s="1739"/>
      <c r="F152" s="1739"/>
      <c r="G152" s="1739"/>
      <c r="H152" s="1739"/>
      <c r="I152" s="1739"/>
      <c r="J152" s="1739"/>
      <c r="K152" s="1739"/>
    </row>
    <row r="153" spans="1:11" ht="14.4" x14ac:dyDescent="0.25">
      <c r="A153" s="256"/>
      <c r="B153" s="256"/>
      <c r="C153" s="1288"/>
      <c r="D153" s="1288"/>
      <c r="E153" s="2432" t="s">
        <v>1087</v>
      </c>
      <c r="F153" s="2432"/>
      <c r="G153" s="2432"/>
      <c r="H153" s="2432"/>
      <c r="I153" s="2432"/>
      <c r="J153" s="2432"/>
      <c r="K153" s="2432"/>
    </row>
    <row r="154" spans="1:11" ht="32.25" customHeight="1" x14ac:dyDescent="0.25">
      <c r="A154" s="256"/>
      <c r="B154" s="256"/>
      <c r="C154" s="1288"/>
      <c r="D154" s="1288"/>
      <c r="E154" s="2419" t="s">
        <v>1089</v>
      </c>
      <c r="F154" s="2419"/>
      <c r="G154" s="2419"/>
      <c r="H154" s="2419"/>
      <c r="I154" s="2419"/>
      <c r="J154" s="2419"/>
      <c r="K154" s="2419"/>
    </row>
    <row r="155" spans="1:11" s="249" customFormat="1" ht="6.75" customHeight="1" x14ac:dyDescent="0.25">
      <c r="A155" s="256"/>
      <c r="B155" s="256"/>
      <c r="C155" s="1288"/>
      <c r="D155" s="1288"/>
      <c r="E155" s="1739"/>
      <c r="F155" s="1739"/>
      <c r="G155" s="1739"/>
      <c r="H155" s="1739"/>
      <c r="I155" s="1739"/>
      <c r="J155" s="1739"/>
      <c r="K155" s="1739"/>
    </row>
    <row r="156" spans="1:11" ht="14.4" x14ac:dyDescent="0.25">
      <c r="A156" s="256"/>
      <c r="B156" s="256"/>
      <c r="C156" s="1288"/>
      <c r="D156" s="1288"/>
      <c r="E156" s="2428" t="s">
        <v>1006</v>
      </c>
      <c r="F156" s="2428"/>
      <c r="G156" s="2428"/>
      <c r="H156" s="2428"/>
      <c r="I156" s="2428"/>
      <c r="J156" s="2428"/>
      <c r="K156" s="2428"/>
    </row>
    <row r="157" spans="1:11" ht="32.25" customHeight="1" x14ac:dyDescent="0.25">
      <c r="A157" s="256"/>
      <c r="B157" s="256"/>
      <c r="C157" s="1288"/>
      <c r="D157" s="1288"/>
      <c r="E157" s="2418" t="s">
        <v>1090</v>
      </c>
      <c r="F157" s="2418"/>
      <c r="G157" s="2418"/>
      <c r="H157" s="2418"/>
      <c r="I157" s="2418"/>
      <c r="J157" s="2418"/>
      <c r="K157" s="2418"/>
    </row>
    <row r="158" spans="1:11" s="249" customFormat="1" ht="6.75" customHeight="1" x14ac:dyDescent="0.25">
      <c r="A158" s="256"/>
      <c r="B158" s="256"/>
      <c r="C158" s="1288"/>
      <c r="D158" s="1288"/>
      <c r="E158" s="1739"/>
      <c r="F158" s="1739"/>
      <c r="G158" s="1739"/>
      <c r="H158" s="1739"/>
      <c r="I158" s="1739"/>
      <c r="J158" s="1739"/>
      <c r="K158" s="1739"/>
    </row>
    <row r="159" spans="1:11" ht="14.4" x14ac:dyDescent="0.25">
      <c r="A159" s="256"/>
      <c r="B159" s="256"/>
      <c r="C159" s="1288"/>
      <c r="D159" s="1288"/>
      <c r="E159" s="1288"/>
      <c r="F159" s="1288"/>
      <c r="G159" s="1288"/>
      <c r="H159" s="1288"/>
      <c r="I159" s="1288"/>
      <c r="J159" s="1288"/>
      <c r="K159" s="1288"/>
    </row>
    <row r="160" spans="1:11" ht="14.4" x14ac:dyDescent="0.25">
      <c r="A160" s="256"/>
      <c r="B160" s="256"/>
      <c r="C160" s="1288"/>
      <c r="D160" s="1288"/>
      <c r="E160" s="2428" t="s">
        <v>1091</v>
      </c>
      <c r="F160" s="2428"/>
      <c r="G160" s="2428"/>
      <c r="H160" s="2428"/>
      <c r="I160" s="2428"/>
      <c r="J160" s="2428"/>
      <c r="K160" s="2428"/>
    </row>
    <row r="161" spans="1:11" ht="31.5" customHeight="1" x14ac:dyDescent="0.25">
      <c r="A161" s="256"/>
      <c r="B161" s="256"/>
      <c r="C161" s="1288"/>
      <c r="D161" s="1288"/>
      <c r="E161" s="2418" t="s">
        <v>1092</v>
      </c>
      <c r="F161" s="2418"/>
      <c r="G161" s="2418"/>
      <c r="H161" s="2418"/>
      <c r="I161" s="2418"/>
      <c r="J161" s="2418"/>
      <c r="K161" s="2418"/>
    </row>
    <row r="162" spans="1:11" ht="14.4" x14ac:dyDescent="0.25">
      <c r="A162" s="256"/>
      <c r="B162" s="256"/>
      <c r="C162" s="1288"/>
      <c r="D162" s="1288"/>
      <c r="E162" s="2420" t="s">
        <v>1093</v>
      </c>
      <c r="F162" s="2421"/>
      <c r="G162" s="2421"/>
      <c r="H162" s="2421"/>
      <c r="I162" s="1706">
        <f>'Merge Details_Printing instr'!$A$19</f>
        <v>2024</v>
      </c>
      <c r="J162" s="1707">
        <f>'Merge Details_Printing instr'!$A$20</f>
        <v>2023</v>
      </c>
      <c r="K162" s="1288"/>
    </row>
    <row r="163" spans="1:11" s="249" customFormat="1" ht="6" customHeight="1" x14ac:dyDescent="0.25">
      <c r="A163" s="256"/>
      <c r="B163" s="256"/>
      <c r="C163" s="1288"/>
      <c r="D163" s="1288"/>
      <c r="E163" s="1702"/>
      <c r="F163" s="1703"/>
      <c r="G163" s="1703"/>
      <c r="H163" s="1703"/>
      <c r="I163" s="1730"/>
      <c r="J163" s="1731"/>
      <c r="K163" s="1288"/>
    </row>
    <row r="164" spans="1:11" ht="14.4" x14ac:dyDescent="0.25">
      <c r="A164" s="256"/>
      <c r="B164" s="256"/>
      <c r="C164" s="1288"/>
      <c r="D164" s="1288"/>
      <c r="E164" s="2422" t="s">
        <v>1065</v>
      </c>
      <c r="F164" s="2423"/>
      <c r="G164" s="2423"/>
      <c r="H164" s="2423"/>
      <c r="I164" s="1703"/>
      <c r="J164" s="1704"/>
      <c r="K164" s="1288"/>
    </row>
    <row r="165" spans="1:11" s="249" customFormat="1" ht="14.4" x14ac:dyDescent="0.25">
      <c r="A165" s="256"/>
      <c r="B165" s="256"/>
      <c r="C165" s="1288"/>
      <c r="D165" s="1288"/>
      <c r="E165" s="1702"/>
      <c r="F165" s="1703"/>
      <c r="G165" s="1703"/>
      <c r="H165" s="1703"/>
      <c r="I165" s="1703"/>
      <c r="J165" s="1704"/>
      <c r="K165" s="1288"/>
    </row>
    <row r="166" spans="1:11" ht="14.4" x14ac:dyDescent="0.25">
      <c r="A166" s="256"/>
      <c r="B166" s="256"/>
      <c r="C166" s="1288"/>
      <c r="D166" s="1288"/>
      <c r="E166" s="2422" t="s">
        <v>1094</v>
      </c>
      <c r="F166" s="2423"/>
      <c r="G166" s="2423"/>
      <c r="H166" s="2423"/>
      <c r="I166" s="1703"/>
      <c r="J166" s="1704"/>
      <c r="K166" s="1288"/>
    </row>
    <row r="167" spans="1:11" s="249" customFormat="1" ht="14.4" x14ac:dyDescent="0.25">
      <c r="A167" s="256"/>
      <c r="B167" s="256"/>
      <c r="C167" s="1288"/>
      <c r="D167" s="1288"/>
      <c r="E167" s="1740"/>
      <c r="F167" s="1705"/>
      <c r="G167" s="1705"/>
      <c r="H167" s="1705"/>
      <c r="I167" s="1705"/>
      <c r="J167" s="1732"/>
      <c r="K167" s="1288"/>
    </row>
    <row r="168" spans="1:11" s="249" customFormat="1" ht="14.4" x14ac:dyDescent="0.25">
      <c r="A168" s="539"/>
      <c r="B168" s="539"/>
      <c r="C168" s="1288"/>
      <c r="D168" s="1288"/>
      <c r="E168" s="1288"/>
      <c r="F168" s="1288"/>
      <c r="G168" s="1288"/>
      <c r="H168" s="1288"/>
      <c r="I168" s="1288"/>
      <c r="J168" s="1288"/>
      <c r="K168" s="1288"/>
    </row>
    <row r="169" spans="1:11" s="249" customFormat="1" ht="14.4" x14ac:dyDescent="0.25">
      <c r="A169" s="539"/>
      <c r="B169" s="539"/>
      <c r="C169" s="1288"/>
      <c r="D169" s="1288"/>
      <c r="E169" s="1288"/>
      <c r="F169" s="1288"/>
      <c r="G169" s="1288"/>
      <c r="H169" s="1288"/>
      <c r="I169" s="1288"/>
      <c r="J169" s="1288"/>
      <c r="K169" s="1288"/>
    </row>
    <row r="170" spans="1:11" s="249" customFormat="1" ht="14.4" x14ac:dyDescent="0.25">
      <c r="A170" s="539"/>
      <c r="B170" s="539"/>
      <c r="C170" s="1288"/>
      <c r="D170" s="1288"/>
      <c r="E170" s="1288"/>
      <c r="F170" s="1288"/>
      <c r="G170" s="1288"/>
      <c r="H170" s="1288"/>
      <c r="I170" s="1288"/>
      <c r="J170" s="1288"/>
      <c r="K170" s="1288"/>
    </row>
    <row r="171" spans="1:11" s="249" customFormat="1" ht="14.4" x14ac:dyDescent="0.25">
      <c r="A171" s="539"/>
      <c r="B171" s="539"/>
      <c r="C171" s="1691" t="s">
        <v>286</v>
      </c>
      <c r="D171" s="1692">
        <f>D4</f>
        <v>10.3</v>
      </c>
      <c r="E171" s="1693" t="s">
        <v>1567</v>
      </c>
      <c r="F171" s="1288"/>
      <c r="G171" s="1288"/>
      <c r="H171" s="1288"/>
      <c r="I171" s="1288"/>
      <c r="J171" s="1288"/>
      <c r="K171" s="1288"/>
    </row>
    <row r="172" spans="1:11" s="249" customFormat="1" ht="14.4" x14ac:dyDescent="0.25">
      <c r="A172" s="539"/>
      <c r="B172" s="539"/>
      <c r="C172" s="1691"/>
      <c r="D172" s="1692"/>
      <c r="E172" s="2420" t="s">
        <v>1093</v>
      </c>
      <c r="F172" s="2421"/>
      <c r="G172" s="2421"/>
      <c r="H172" s="2421"/>
      <c r="I172" s="1706">
        <f>'Merge Details_Printing instr'!$A$19</f>
        <v>2024</v>
      </c>
      <c r="J172" s="1707">
        <f>'Merge Details_Printing instr'!$A$20</f>
        <v>2023</v>
      </c>
      <c r="K172" s="1288"/>
    </row>
    <row r="173" spans="1:11" ht="16.5" customHeight="1" x14ac:dyDescent="0.25">
      <c r="A173" s="256"/>
      <c r="B173" s="256"/>
      <c r="C173" s="1288"/>
      <c r="D173" s="1288"/>
      <c r="E173" s="1741" t="s">
        <v>1027</v>
      </c>
      <c r="F173" s="1742"/>
      <c r="G173" s="1742"/>
      <c r="H173" s="1742"/>
      <c r="I173" s="1703"/>
      <c r="J173" s="1704"/>
      <c r="K173" s="1288"/>
    </row>
    <row r="174" spans="1:11" ht="16.5" customHeight="1" x14ac:dyDescent="0.25">
      <c r="A174" s="256"/>
      <c r="B174" s="256"/>
      <c r="C174" s="1288"/>
      <c r="D174" s="1288"/>
      <c r="E174" s="2422" t="s">
        <v>39</v>
      </c>
      <c r="F174" s="2423"/>
      <c r="G174" s="2423"/>
      <c r="H174" s="2423"/>
      <c r="I174" s="1703"/>
      <c r="J174" s="1704"/>
      <c r="K174" s="1288"/>
    </row>
    <row r="175" spans="1:11" ht="16.5" customHeight="1" x14ac:dyDescent="0.25">
      <c r="A175" s="256"/>
      <c r="B175" s="256"/>
      <c r="C175" s="1288"/>
      <c r="D175" s="1288"/>
      <c r="E175" s="2422" t="s">
        <v>85</v>
      </c>
      <c r="F175" s="2423"/>
      <c r="G175" s="2423"/>
      <c r="H175" s="2423"/>
      <c r="I175" s="1703"/>
      <c r="J175" s="1704"/>
      <c r="K175" s="1288"/>
    </row>
    <row r="176" spans="1:11" ht="16.5" customHeight="1" x14ac:dyDescent="0.25">
      <c r="A176" s="256"/>
      <c r="B176" s="256"/>
      <c r="C176" s="1288"/>
      <c r="D176" s="1288"/>
      <c r="E176" s="2422" t="s">
        <v>150</v>
      </c>
      <c r="F176" s="2423"/>
      <c r="G176" s="2423"/>
      <c r="H176" s="2423"/>
      <c r="I176" s="1703"/>
      <c r="J176" s="1704"/>
      <c r="K176" s="1288"/>
    </row>
    <row r="177" spans="1:11" ht="16.5" customHeight="1" x14ac:dyDescent="0.25">
      <c r="A177" s="256"/>
      <c r="B177" s="256"/>
      <c r="C177" s="1288"/>
      <c r="D177" s="1288"/>
      <c r="E177" s="2422" t="s">
        <v>1059</v>
      </c>
      <c r="F177" s="2423"/>
      <c r="G177" s="2423"/>
      <c r="H177" s="2423"/>
      <c r="I177" s="1703"/>
      <c r="J177" s="1704"/>
      <c r="K177" s="1288"/>
    </row>
    <row r="178" spans="1:11" ht="16.5" customHeight="1" x14ac:dyDescent="0.25">
      <c r="A178" s="256"/>
      <c r="B178" s="256"/>
      <c r="C178" s="1288"/>
      <c r="D178" s="1288"/>
      <c r="E178" s="2422" t="s">
        <v>181</v>
      </c>
      <c r="F178" s="2423"/>
      <c r="G178" s="2423"/>
      <c r="H178" s="2423"/>
      <c r="I178" s="1703"/>
      <c r="J178" s="1704"/>
      <c r="K178" s="1288"/>
    </row>
    <row r="179" spans="1:11" ht="16.5" customHeight="1" x14ac:dyDescent="0.25">
      <c r="A179" s="256"/>
      <c r="B179" s="256"/>
      <c r="C179" s="1288"/>
      <c r="D179" s="1288"/>
      <c r="E179" s="2422" t="s">
        <v>1059</v>
      </c>
      <c r="F179" s="2423"/>
      <c r="G179" s="2423"/>
      <c r="H179" s="2423"/>
      <c r="I179" s="1703"/>
      <c r="J179" s="1704"/>
      <c r="K179" s="1288"/>
    </row>
    <row r="180" spans="1:11" ht="16.5" customHeight="1" x14ac:dyDescent="0.25">
      <c r="A180" s="256"/>
      <c r="B180" s="256"/>
      <c r="C180" s="1288"/>
      <c r="D180" s="1288"/>
      <c r="E180" s="2422" t="s">
        <v>154</v>
      </c>
      <c r="F180" s="2423"/>
      <c r="G180" s="2423"/>
      <c r="H180" s="2423"/>
      <c r="I180" s="1703"/>
      <c r="J180" s="1704"/>
      <c r="K180" s="1288"/>
    </row>
    <row r="181" spans="1:11" ht="16.5" customHeight="1" x14ac:dyDescent="0.25">
      <c r="A181" s="256"/>
      <c r="B181" s="256"/>
      <c r="C181" s="1288"/>
      <c r="D181" s="1288"/>
      <c r="E181" s="2422" t="s">
        <v>1028</v>
      </c>
      <c r="F181" s="2423"/>
      <c r="G181" s="2423"/>
      <c r="H181" s="2423"/>
      <c r="I181" s="1703"/>
      <c r="J181" s="1704"/>
      <c r="K181" s="1288"/>
    </row>
    <row r="182" spans="1:11" s="249" customFormat="1" ht="6" customHeight="1" x14ac:dyDescent="0.25">
      <c r="A182" s="256"/>
      <c r="B182" s="256"/>
      <c r="C182" s="1288"/>
      <c r="D182" s="1288"/>
      <c r="E182" s="1702"/>
      <c r="F182" s="1703"/>
      <c r="G182" s="1703"/>
      <c r="H182" s="1703"/>
      <c r="I182" s="1703"/>
      <c r="J182" s="1704"/>
      <c r="K182" s="1288"/>
    </row>
    <row r="183" spans="1:11" ht="14.4" x14ac:dyDescent="0.25">
      <c r="A183" s="256"/>
      <c r="B183" s="256"/>
      <c r="C183" s="1288"/>
      <c r="D183" s="1288"/>
      <c r="E183" s="1741" t="s">
        <v>1029</v>
      </c>
      <c r="F183" s="1742"/>
      <c r="G183" s="1742"/>
      <c r="H183" s="1742"/>
      <c r="I183" s="1703"/>
      <c r="J183" s="1704"/>
      <c r="K183" s="1288"/>
    </row>
    <row r="184" spans="1:11" ht="14.4" x14ac:dyDescent="0.25">
      <c r="A184" s="256"/>
      <c r="B184" s="256"/>
      <c r="C184" s="1288"/>
      <c r="D184" s="1288"/>
      <c r="E184" s="2422" t="s">
        <v>594</v>
      </c>
      <c r="F184" s="2423"/>
      <c r="G184" s="2423"/>
      <c r="H184" s="2423"/>
      <c r="I184" s="1703"/>
      <c r="J184" s="1704"/>
      <c r="K184" s="1288"/>
    </row>
    <row r="185" spans="1:11" ht="14.4" x14ac:dyDescent="0.25">
      <c r="A185" s="256"/>
      <c r="B185" s="256"/>
      <c r="C185" s="1288"/>
      <c r="D185" s="1288"/>
      <c r="E185" s="2422" t="s">
        <v>1060</v>
      </c>
      <c r="F185" s="2423"/>
      <c r="G185" s="2423"/>
      <c r="H185" s="2423"/>
      <c r="I185" s="1703"/>
      <c r="J185" s="1704"/>
      <c r="K185" s="1288"/>
    </row>
    <row r="186" spans="1:11" ht="14.4" x14ac:dyDescent="0.25">
      <c r="A186" s="256"/>
      <c r="B186" s="256"/>
      <c r="C186" s="1288"/>
      <c r="D186" s="1288"/>
      <c r="E186" s="2422" t="s">
        <v>75</v>
      </c>
      <c r="F186" s="2423"/>
      <c r="G186" s="2423"/>
      <c r="H186" s="2423"/>
      <c r="I186" s="1703"/>
      <c r="J186" s="1704"/>
      <c r="K186" s="1288"/>
    </row>
    <row r="187" spans="1:11" ht="14.4" x14ac:dyDescent="0.25">
      <c r="A187" s="256"/>
      <c r="B187" s="256"/>
      <c r="C187" s="1288"/>
      <c r="D187" s="1288"/>
      <c r="E187" s="2422" t="s">
        <v>1061</v>
      </c>
      <c r="F187" s="2423"/>
      <c r="G187" s="2423"/>
      <c r="H187" s="2423"/>
      <c r="I187" s="1703"/>
      <c r="J187" s="1704"/>
      <c r="K187" s="1288"/>
    </row>
    <row r="188" spans="1:11" ht="14.4" x14ac:dyDescent="0.25">
      <c r="A188" s="256"/>
      <c r="B188" s="256"/>
      <c r="C188" s="1288"/>
      <c r="D188" s="1288"/>
      <c r="E188" s="2422" t="s">
        <v>1062</v>
      </c>
      <c r="F188" s="2423"/>
      <c r="G188" s="2423"/>
      <c r="H188" s="2423"/>
      <c r="I188" s="1703"/>
      <c r="J188" s="1704"/>
      <c r="K188" s="1288"/>
    </row>
    <row r="189" spans="1:11" ht="14.4" x14ac:dyDescent="0.25">
      <c r="A189" s="256"/>
      <c r="B189" s="256"/>
      <c r="C189" s="1288"/>
      <c r="D189" s="1288"/>
      <c r="E189" s="2422" t="s">
        <v>1063</v>
      </c>
      <c r="F189" s="2423"/>
      <c r="G189" s="2423"/>
      <c r="H189" s="2423"/>
      <c r="I189" s="1703"/>
      <c r="J189" s="1704"/>
      <c r="K189" s="1288"/>
    </row>
    <row r="190" spans="1:11" ht="14.4" x14ac:dyDescent="0.25">
      <c r="A190" s="256"/>
      <c r="B190" s="256"/>
      <c r="C190" s="1288"/>
      <c r="D190" s="1288"/>
      <c r="E190" s="2422" t="s">
        <v>1064</v>
      </c>
      <c r="F190" s="2423"/>
      <c r="G190" s="2423"/>
      <c r="H190" s="2423"/>
      <c r="I190" s="1703"/>
      <c r="J190" s="1704"/>
      <c r="K190" s="1288"/>
    </row>
    <row r="191" spans="1:11" ht="14.4" x14ac:dyDescent="0.25">
      <c r="A191" s="256"/>
      <c r="B191" s="256"/>
      <c r="C191" s="1288"/>
      <c r="D191" s="1288"/>
      <c r="E191" s="2422" t="s">
        <v>421</v>
      </c>
      <c r="F191" s="2423"/>
      <c r="G191" s="2423"/>
      <c r="H191" s="2423"/>
      <c r="I191" s="1703"/>
      <c r="J191" s="1704"/>
      <c r="K191" s="1288"/>
    </row>
    <row r="192" spans="1:11" ht="14.4" x14ac:dyDescent="0.25">
      <c r="A192" s="256"/>
      <c r="B192" s="256"/>
      <c r="C192" s="1288"/>
      <c r="D192" s="1288"/>
      <c r="E192" s="2422" t="s">
        <v>1031</v>
      </c>
      <c r="F192" s="2423"/>
      <c r="G192" s="2423"/>
      <c r="H192" s="2423"/>
      <c r="I192" s="1703"/>
      <c r="J192" s="1704"/>
      <c r="K192" s="1288"/>
    </row>
    <row r="193" spans="1:11" s="249" customFormat="1" ht="6" customHeight="1" x14ac:dyDescent="0.25">
      <c r="A193" s="256"/>
      <c r="B193" s="256"/>
      <c r="C193" s="1288"/>
      <c r="D193" s="1288"/>
      <c r="E193" s="1702"/>
      <c r="F193" s="1703"/>
      <c r="G193" s="1703"/>
      <c r="H193" s="1703"/>
      <c r="I193" s="1703"/>
      <c r="J193" s="1704"/>
      <c r="K193" s="1288"/>
    </row>
    <row r="194" spans="1:11" ht="14.4" x14ac:dyDescent="0.25">
      <c r="A194" s="256"/>
      <c r="B194" s="256"/>
      <c r="C194" s="1288"/>
      <c r="D194" s="1288"/>
      <c r="E194" s="2426" t="s">
        <v>1032</v>
      </c>
      <c r="F194" s="2427"/>
      <c r="G194" s="2427"/>
      <c r="H194" s="2427"/>
      <c r="I194" s="1703"/>
      <c r="J194" s="1704"/>
      <c r="K194" s="1288"/>
    </row>
    <row r="195" spans="1:11" ht="14.4" x14ac:dyDescent="0.25">
      <c r="A195" s="256"/>
      <c r="B195" s="256"/>
      <c r="C195" s="1288"/>
      <c r="D195" s="1288"/>
      <c r="E195" s="2422" t="s">
        <v>158</v>
      </c>
      <c r="F195" s="2423"/>
      <c r="G195" s="2423"/>
      <c r="H195" s="2423"/>
      <c r="I195" s="1703"/>
      <c r="J195" s="1704"/>
      <c r="K195" s="1288"/>
    </row>
    <row r="196" spans="1:11" ht="14.4" x14ac:dyDescent="0.25">
      <c r="A196" s="256"/>
      <c r="B196" s="256"/>
      <c r="C196" s="1288"/>
      <c r="D196" s="1288"/>
      <c r="E196" s="2422" t="s">
        <v>416</v>
      </c>
      <c r="F196" s="2423"/>
      <c r="G196" s="2423"/>
      <c r="H196" s="2423"/>
      <c r="I196" s="1703"/>
      <c r="J196" s="1704"/>
      <c r="K196" s="1288"/>
    </row>
    <row r="197" spans="1:11" ht="14.4" x14ac:dyDescent="0.25">
      <c r="A197" s="256"/>
      <c r="B197" s="256"/>
      <c r="C197" s="1288"/>
      <c r="D197" s="1288"/>
      <c r="E197" s="2422" t="s">
        <v>1033</v>
      </c>
      <c r="F197" s="2423"/>
      <c r="G197" s="2423"/>
      <c r="H197" s="2423"/>
      <c r="I197" s="1703"/>
      <c r="J197" s="1704"/>
      <c r="K197" s="1288"/>
    </row>
    <row r="198" spans="1:11" ht="14.4" x14ac:dyDescent="0.25">
      <c r="A198" s="256"/>
      <c r="B198" s="256"/>
      <c r="C198" s="1288"/>
      <c r="D198" s="1288"/>
      <c r="E198" s="2424" t="s">
        <v>1034</v>
      </c>
      <c r="F198" s="2425"/>
      <c r="G198" s="2425"/>
      <c r="H198" s="2425"/>
      <c r="I198" s="1705"/>
      <c r="J198" s="1732"/>
      <c r="K198" s="1288"/>
    </row>
    <row r="199" spans="1:11" ht="14.4" x14ac:dyDescent="0.25">
      <c r="A199" s="256"/>
      <c r="B199" s="256"/>
      <c r="C199" s="1288"/>
      <c r="D199" s="1288"/>
      <c r="E199" s="1288"/>
      <c r="F199" s="1288"/>
      <c r="G199" s="1288"/>
      <c r="H199" s="1288"/>
      <c r="I199" s="1288"/>
      <c r="J199" s="1288"/>
      <c r="K199" s="1288"/>
    </row>
    <row r="200" spans="1:11" ht="31.5" customHeight="1" x14ac:dyDescent="0.25">
      <c r="A200" s="256"/>
      <c r="B200" s="256"/>
      <c r="C200" s="1288"/>
      <c r="D200" s="1288"/>
      <c r="E200" s="2428" t="s">
        <v>1095</v>
      </c>
      <c r="F200" s="2428"/>
      <c r="G200" s="2428"/>
      <c r="H200" s="2428"/>
      <c r="I200" s="2428"/>
      <c r="J200" s="2428"/>
      <c r="K200" s="2428"/>
    </row>
    <row r="201" spans="1:11" ht="6" customHeight="1" x14ac:dyDescent="0.25">
      <c r="A201" s="256"/>
      <c r="B201" s="256"/>
      <c r="C201" s="1288"/>
      <c r="D201" s="1288"/>
      <c r="E201" s="1288"/>
      <c r="F201" s="1288"/>
      <c r="G201" s="1288"/>
      <c r="H201" s="1288"/>
      <c r="I201" s="1288"/>
      <c r="J201" s="1288"/>
      <c r="K201" s="1288"/>
    </row>
    <row r="202" spans="1:11" ht="14.4" x14ac:dyDescent="0.25">
      <c r="A202" s="256"/>
      <c r="B202" s="256"/>
      <c r="C202" s="1288"/>
      <c r="D202" s="1288"/>
      <c r="E202" s="1743" t="s">
        <v>1096</v>
      </c>
      <c r="F202" s="1720"/>
      <c r="G202" s="1720"/>
      <c r="H202" s="1720"/>
      <c r="I202" s="1733" t="s">
        <v>1097</v>
      </c>
      <c r="J202" s="1734" t="s">
        <v>1072</v>
      </c>
      <c r="K202" s="1288"/>
    </row>
    <row r="203" spans="1:11" s="249" customFormat="1" ht="14.4" x14ac:dyDescent="0.25">
      <c r="A203" s="256"/>
      <c r="B203" s="256"/>
      <c r="C203" s="1288"/>
      <c r="D203" s="1288"/>
      <c r="E203" s="1735" t="s">
        <v>1073</v>
      </c>
      <c r="F203" s="1703"/>
      <c r="G203" s="1703"/>
      <c r="H203" s="1736"/>
      <c r="I203" s="1703"/>
      <c r="J203" s="1704"/>
      <c r="K203" s="1288"/>
    </row>
    <row r="204" spans="1:11" ht="14.4" x14ac:dyDescent="0.25">
      <c r="A204" s="256"/>
      <c r="B204" s="256"/>
      <c r="C204" s="1288"/>
      <c r="D204" s="1288"/>
      <c r="E204" s="1735" t="s">
        <v>1067</v>
      </c>
      <c r="F204" s="1703"/>
      <c r="G204" s="1703"/>
      <c r="H204" s="1703"/>
      <c r="I204" s="1703"/>
      <c r="J204" s="1704"/>
      <c r="K204" s="1288"/>
    </row>
    <row r="205" spans="1:11" ht="14.4" x14ac:dyDescent="0.25">
      <c r="A205" s="256"/>
      <c r="B205" s="256"/>
      <c r="C205" s="1288"/>
      <c r="D205" s="1288"/>
      <c r="E205" s="1735" t="s">
        <v>1068</v>
      </c>
      <c r="F205" s="1703"/>
      <c r="G205" s="1703"/>
      <c r="H205" s="1703"/>
      <c r="I205" s="1703"/>
      <c r="J205" s="1704"/>
      <c r="K205" s="1288"/>
    </row>
    <row r="206" spans="1:11" ht="14.4" x14ac:dyDescent="0.25">
      <c r="A206" s="256"/>
      <c r="B206" s="256"/>
      <c r="C206" s="1288"/>
      <c r="D206" s="1288"/>
      <c r="E206" s="1737" t="s">
        <v>1069</v>
      </c>
      <c r="F206" s="1703"/>
      <c r="G206" s="1703"/>
      <c r="H206" s="1703"/>
      <c r="I206" s="1703"/>
      <c r="J206" s="1704"/>
      <c r="K206" s="1288"/>
    </row>
    <row r="207" spans="1:11" ht="14.4" x14ac:dyDescent="0.25">
      <c r="A207" s="256"/>
      <c r="B207" s="256"/>
      <c r="C207" s="1288"/>
      <c r="D207" s="1288"/>
      <c r="E207" s="1738"/>
      <c r="F207" s="1705"/>
      <c r="G207" s="1705"/>
      <c r="H207" s="1705"/>
      <c r="I207" s="1705"/>
      <c r="J207" s="1732"/>
      <c r="K207" s="1288"/>
    </row>
    <row r="208" spans="1:11" ht="14.4" x14ac:dyDescent="0.25">
      <c r="A208" s="256"/>
      <c r="B208" s="256"/>
      <c r="C208" s="1288"/>
      <c r="D208" s="1288"/>
      <c r="E208" s="1288"/>
      <c r="F208" s="1288"/>
      <c r="G208" s="1288"/>
      <c r="H208" s="1288"/>
      <c r="I208" s="1288"/>
      <c r="J208" s="1288"/>
      <c r="K208" s="1288"/>
    </row>
    <row r="209" spans="1:11" ht="14.4" x14ac:dyDescent="0.25">
      <c r="A209" s="256"/>
      <c r="B209" s="256"/>
      <c r="C209" s="1288"/>
      <c r="D209" s="1288"/>
      <c r="E209" s="1693" t="s">
        <v>1165</v>
      </c>
      <c r="F209" s="1288"/>
      <c r="G209" s="1288"/>
      <c r="H209" s="1288"/>
      <c r="I209" s="1288"/>
      <c r="J209" s="1288"/>
      <c r="K209" s="1288"/>
    </row>
    <row r="210" spans="1:11" ht="31.5" customHeight="1" x14ac:dyDescent="0.25">
      <c r="A210" s="256"/>
      <c r="B210" s="256"/>
      <c r="C210" s="1288"/>
      <c r="D210" s="1288"/>
      <c r="E210" s="2418" t="s">
        <v>1098</v>
      </c>
      <c r="F210" s="2418"/>
      <c r="G210" s="2418"/>
      <c r="H210" s="2418"/>
      <c r="I210" s="2418"/>
      <c r="J210" s="2418"/>
      <c r="K210" s="2418"/>
    </row>
    <row r="211" spans="1:11" ht="14.4" x14ac:dyDescent="0.25">
      <c r="A211" s="256"/>
      <c r="B211" s="256"/>
      <c r="C211" s="1288"/>
      <c r="D211" s="1288"/>
      <c r="E211" s="1719"/>
      <c r="F211" s="1720"/>
      <c r="G211" s="1720"/>
      <c r="H211" s="1720"/>
      <c r="I211" s="1733" t="s">
        <v>1097</v>
      </c>
      <c r="J211" s="1734" t="s">
        <v>1072</v>
      </c>
      <c r="K211" s="1288"/>
    </row>
    <row r="212" spans="1:11" s="249" customFormat="1" ht="14.4" x14ac:dyDescent="0.25">
      <c r="A212" s="256"/>
      <c r="B212" s="256"/>
      <c r="C212" s="1288"/>
      <c r="D212" s="1288"/>
      <c r="E212" s="1744" t="s">
        <v>1100</v>
      </c>
      <c r="F212" s="1745"/>
      <c r="G212" s="1745"/>
      <c r="H212" s="1745"/>
      <c r="I212" s="1703"/>
      <c r="J212" s="1704"/>
      <c r="K212" s="1288"/>
    </row>
    <row r="213" spans="1:11" s="249" customFormat="1" ht="14.4" x14ac:dyDescent="0.25">
      <c r="A213" s="256"/>
      <c r="B213" s="256"/>
      <c r="C213" s="1288"/>
      <c r="D213" s="1288"/>
      <c r="E213" s="1711"/>
      <c r="F213" s="1712"/>
      <c r="G213" s="1712"/>
      <c r="H213" s="1712"/>
      <c r="I213" s="1703"/>
      <c r="J213" s="1704"/>
      <c r="K213" s="1288"/>
    </row>
    <row r="214" spans="1:11" ht="14.4" x14ac:dyDescent="0.25">
      <c r="A214" s="256"/>
      <c r="B214" s="256"/>
      <c r="C214" s="1288"/>
      <c r="D214" s="1288"/>
      <c r="E214" s="1746" t="s">
        <v>1099</v>
      </c>
      <c r="F214" s="1712"/>
      <c r="G214" s="1712"/>
      <c r="H214" s="1712"/>
      <c r="I214" s="1703"/>
      <c r="J214" s="1704"/>
      <c r="K214" s="1288"/>
    </row>
    <row r="215" spans="1:11" ht="16.5" customHeight="1" x14ac:dyDescent="0.25">
      <c r="A215" s="256"/>
      <c r="B215" s="256"/>
      <c r="C215" s="1288"/>
      <c r="D215" s="1288"/>
      <c r="E215" s="2422" t="s">
        <v>1078</v>
      </c>
      <c r="F215" s="2423"/>
      <c r="G215" s="2423"/>
      <c r="H215" s="2423"/>
      <c r="I215" s="1703"/>
      <c r="J215" s="1704"/>
      <c r="K215" s="1288"/>
    </row>
    <row r="216" spans="1:11" ht="16.5" customHeight="1" x14ac:dyDescent="0.25">
      <c r="A216" s="256"/>
      <c r="B216" s="256"/>
      <c r="C216" s="1288"/>
      <c r="D216" s="1288"/>
      <c r="E216" s="2422" t="s">
        <v>1064</v>
      </c>
      <c r="F216" s="2423"/>
      <c r="G216" s="2423"/>
      <c r="H216" s="2423"/>
      <c r="I216" s="1703"/>
      <c r="J216" s="1704"/>
      <c r="K216" s="1288"/>
    </row>
    <row r="217" spans="1:11" ht="16.5" customHeight="1" x14ac:dyDescent="0.25">
      <c r="A217" s="256"/>
      <c r="B217" s="256"/>
      <c r="C217" s="1288"/>
      <c r="D217" s="1288"/>
      <c r="E217" s="2422" t="s">
        <v>421</v>
      </c>
      <c r="F217" s="2423"/>
      <c r="G217" s="2423"/>
      <c r="H217" s="2423"/>
      <c r="I217" s="1703"/>
      <c r="J217" s="1704"/>
      <c r="K217" s="1288"/>
    </row>
    <row r="218" spans="1:11" ht="16.5" customHeight="1" x14ac:dyDescent="0.25">
      <c r="A218" s="256"/>
      <c r="B218" s="256"/>
      <c r="C218" s="1288"/>
      <c r="D218" s="1288"/>
      <c r="E218" s="2424" t="s">
        <v>1031</v>
      </c>
      <c r="F218" s="2425"/>
      <c r="G218" s="2425"/>
      <c r="H218" s="2425"/>
      <c r="I218" s="1705"/>
      <c r="J218" s="1732"/>
      <c r="K218" s="1288"/>
    </row>
    <row r="219" spans="1:11" ht="14.4" x14ac:dyDescent="0.25">
      <c r="A219" s="256"/>
      <c r="B219" s="256"/>
      <c r="C219" s="1288"/>
      <c r="D219" s="1288"/>
      <c r="E219" s="1288"/>
      <c r="F219" s="1288"/>
      <c r="G219" s="1288"/>
      <c r="H219" s="1288"/>
      <c r="I219" s="1288"/>
      <c r="J219" s="1288"/>
      <c r="K219" s="1288"/>
    </row>
    <row r="220" spans="1:11" ht="14.4" x14ac:dyDescent="0.25">
      <c r="A220" s="256"/>
      <c r="B220" s="256"/>
      <c r="C220" s="1288"/>
      <c r="D220" s="1288"/>
      <c r="E220" s="1693" t="s">
        <v>1080</v>
      </c>
      <c r="F220" s="1288"/>
      <c r="G220" s="1288"/>
      <c r="H220" s="1288"/>
      <c r="I220" s="1288"/>
      <c r="J220" s="1288"/>
      <c r="K220" s="1288"/>
    </row>
    <row r="221" spans="1:11" ht="33" customHeight="1" x14ac:dyDescent="0.25">
      <c r="A221" s="256"/>
      <c r="B221" s="256"/>
      <c r="C221" s="1288"/>
      <c r="D221" s="1288"/>
      <c r="E221" s="2418" t="s">
        <v>1917</v>
      </c>
      <c r="F221" s="2418"/>
      <c r="G221" s="2418"/>
      <c r="H221" s="2418"/>
      <c r="I221" s="2418"/>
      <c r="J221" s="2418"/>
      <c r="K221" s="2418"/>
    </row>
    <row r="222" spans="1:11" ht="14.4" x14ac:dyDescent="0.25">
      <c r="A222" s="256"/>
      <c r="B222" s="256"/>
      <c r="C222" s="1288"/>
      <c r="D222" s="1288"/>
      <c r="E222" s="1288"/>
      <c r="F222" s="1288"/>
      <c r="G222" s="1288"/>
      <c r="H222" s="1288"/>
      <c r="I222" s="1288"/>
      <c r="J222" s="1288"/>
      <c r="K222" s="1288"/>
    </row>
    <row r="223" spans="1:11" ht="14.4" x14ac:dyDescent="0.25">
      <c r="A223" s="256"/>
      <c r="B223" s="256"/>
      <c r="C223" s="1288"/>
      <c r="D223" s="1288"/>
      <c r="E223" s="1693" t="s">
        <v>1101</v>
      </c>
      <c r="F223" s="1288"/>
      <c r="G223" s="1288"/>
      <c r="H223" s="1288"/>
      <c r="I223" s="1288"/>
      <c r="J223" s="1288"/>
      <c r="K223" s="1288"/>
    </row>
    <row r="224" spans="1:11" ht="6" customHeight="1" x14ac:dyDescent="0.25">
      <c r="A224" s="256"/>
      <c r="B224" s="256"/>
      <c r="C224" s="1288"/>
      <c r="D224" s="1288"/>
      <c r="E224" s="1288"/>
      <c r="F224" s="1288"/>
      <c r="G224" s="1288"/>
      <c r="H224" s="1288"/>
      <c r="I224" s="1288"/>
      <c r="J224" s="1288"/>
      <c r="K224" s="1288"/>
    </row>
    <row r="225" spans="1:13" ht="39" customHeight="1" x14ac:dyDescent="0.25">
      <c r="A225" s="256"/>
      <c r="B225" s="256"/>
      <c r="C225" s="1288"/>
      <c r="D225" s="1288"/>
      <c r="E225" s="2433" t="s">
        <v>1102</v>
      </c>
      <c r="F225" s="2433"/>
      <c r="G225" s="2433"/>
      <c r="H225" s="2433"/>
      <c r="I225" s="2430"/>
      <c r="J225" s="2430"/>
      <c r="K225" s="1288"/>
    </row>
    <row r="226" spans="1:13" ht="14.4" x14ac:dyDescent="0.25">
      <c r="A226" s="256"/>
      <c r="B226" s="256"/>
      <c r="C226" s="1288"/>
      <c r="D226" s="1288"/>
      <c r="E226" s="1288"/>
      <c r="F226" s="1288"/>
      <c r="G226" s="1288"/>
      <c r="H226" s="1288"/>
      <c r="I226" s="1288"/>
      <c r="J226" s="1288"/>
      <c r="K226" s="1288"/>
    </row>
    <row r="227" spans="1:13" s="249" customFormat="1" ht="14.4" x14ac:dyDescent="0.25">
      <c r="A227" s="256"/>
      <c r="B227" s="256"/>
      <c r="C227" s="1691" t="s">
        <v>286</v>
      </c>
      <c r="D227" s="1692">
        <f>D4</f>
        <v>10.3</v>
      </c>
      <c r="E227" s="1693" t="s">
        <v>1567</v>
      </c>
      <c r="F227" s="1288"/>
      <c r="G227" s="1288"/>
      <c r="H227" s="1288"/>
      <c r="I227" s="1288"/>
      <c r="J227" s="1288"/>
      <c r="K227" s="1288"/>
    </row>
    <row r="228" spans="1:13" s="249" customFormat="1" ht="9" customHeight="1" thickBot="1" x14ac:dyDescent="0.3">
      <c r="A228" s="256"/>
      <c r="B228" s="256"/>
      <c r="C228" s="1288"/>
      <c r="D228" s="1288"/>
      <c r="E228" s="1288"/>
      <c r="F228" s="1288"/>
      <c r="G228" s="1288"/>
      <c r="H228" s="1288"/>
      <c r="I228" s="1288"/>
      <c r="J228" s="1288"/>
      <c r="K228" s="1288"/>
    </row>
    <row r="229" spans="1:13" ht="16.5" customHeight="1" x14ac:dyDescent="0.25">
      <c r="A229" s="256"/>
      <c r="B229" s="256"/>
      <c r="C229" s="1288"/>
      <c r="D229" s="1288"/>
      <c r="E229" s="2415" t="s">
        <v>1133</v>
      </c>
      <c r="F229" s="2416"/>
      <c r="G229" s="2416"/>
      <c r="H229" s="2416"/>
      <c r="I229" s="2416"/>
      <c r="J229" s="2416"/>
      <c r="K229" s="2417"/>
    </row>
    <row r="230" spans="1:13" ht="14.4" x14ac:dyDescent="0.25">
      <c r="A230" s="256"/>
      <c r="B230" s="256"/>
      <c r="C230" s="1288"/>
      <c r="D230" s="1288"/>
      <c r="E230" s="2208"/>
      <c r="F230" s="2209"/>
      <c r="G230" s="2209"/>
      <c r="H230" s="2209"/>
      <c r="I230" s="2209"/>
      <c r="J230" s="2209"/>
      <c r="K230" s="2210"/>
    </row>
    <row r="231" spans="1:13" ht="16.5" customHeight="1" x14ac:dyDescent="0.25">
      <c r="A231" s="256"/>
      <c r="B231" s="256"/>
      <c r="C231" s="1288"/>
      <c r="D231" s="1288"/>
      <c r="E231" s="2406" t="s">
        <v>1004</v>
      </c>
      <c r="F231" s="2407"/>
      <c r="G231" s="2407"/>
      <c r="H231" s="2407"/>
      <c r="I231" s="2407"/>
      <c r="J231" s="2407"/>
      <c r="K231" s="2408"/>
    </row>
    <row r="232" spans="1:13" ht="93" customHeight="1" x14ac:dyDescent="0.25">
      <c r="A232" s="256">
        <v>10</v>
      </c>
      <c r="B232" s="256"/>
      <c r="C232" s="1288"/>
      <c r="D232" s="1288"/>
      <c r="E232" s="2403" t="s">
        <v>1672</v>
      </c>
      <c r="F232" s="2404"/>
      <c r="G232" s="2404"/>
      <c r="H232" s="2404"/>
      <c r="I232" s="2404"/>
      <c r="J232" s="2404"/>
      <c r="K232" s="2405"/>
      <c r="M232" s="387" t="s">
        <v>1340</v>
      </c>
    </row>
    <row r="233" spans="1:13" ht="14.4" x14ac:dyDescent="0.25">
      <c r="A233" s="256">
        <v>10</v>
      </c>
      <c r="B233" s="256"/>
      <c r="C233" s="1288"/>
      <c r="D233" s="1288"/>
      <c r="E233" s="2412" t="s">
        <v>1153</v>
      </c>
      <c r="F233" s="2413"/>
      <c r="G233" s="2413"/>
      <c r="H233" s="2413"/>
      <c r="I233" s="2413"/>
      <c r="J233" s="2413"/>
      <c r="K233" s="2414"/>
    </row>
    <row r="234" spans="1:13" ht="52.5" customHeight="1" x14ac:dyDescent="0.25">
      <c r="A234" s="256"/>
      <c r="B234" s="256"/>
      <c r="C234" s="1288"/>
      <c r="D234" s="1288"/>
      <c r="E234" s="2403" t="s">
        <v>1005</v>
      </c>
      <c r="F234" s="2404"/>
      <c r="G234" s="2404"/>
      <c r="H234" s="2404"/>
      <c r="I234" s="2404"/>
      <c r="J234" s="2404"/>
      <c r="K234" s="2405"/>
    </row>
    <row r="235" spans="1:13" ht="14.4" x14ac:dyDescent="0.25">
      <c r="A235" s="256">
        <v>11</v>
      </c>
      <c r="B235" s="256"/>
      <c r="C235" s="1288"/>
      <c r="D235" s="1288"/>
      <c r="E235" s="2412" t="s">
        <v>1154</v>
      </c>
      <c r="F235" s="2413"/>
      <c r="G235" s="2413"/>
      <c r="H235" s="2413"/>
      <c r="I235" s="2413"/>
      <c r="J235" s="2413"/>
      <c r="K235" s="2414"/>
    </row>
    <row r="236" spans="1:13" ht="55.5" customHeight="1" x14ac:dyDescent="0.25">
      <c r="A236" s="256"/>
      <c r="B236" s="256"/>
      <c r="C236" s="1288"/>
      <c r="D236" s="1288"/>
      <c r="E236" s="2403" t="s">
        <v>1918</v>
      </c>
      <c r="F236" s="2404"/>
      <c r="G236" s="2404"/>
      <c r="H236" s="2404"/>
      <c r="I236" s="2404"/>
      <c r="J236" s="2404"/>
      <c r="K236" s="2405"/>
    </row>
    <row r="237" spans="1:13" ht="14.4" x14ac:dyDescent="0.25">
      <c r="A237" s="256">
        <v>11</v>
      </c>
      <c r="B237" s="256"/>
      <c r="C237" s="1288"/>
      <c r="D237" s="1288"/>
      <c r="E237" s="2412" t="s">
        <v>1156</v>
      </c>
      <c r="F237" s="2413"/>
      <c r="G237" s="2413"/>
      <c r="H237" s="2413"/>
      <c r="I237" s="2413"/>
      <c r="J237" s="2413"/>
      <c r="K237" s="2414"/>
    </row>
    <row r="238" spans="1:13" ht="118.5" customHeight="1" x14ac:dyDescent="0.25">
      <c r="A238" s="256"/>
      <c r="B238" s="256"/>
      <c r="C238" s="1288"/>
      <c r="D238" s="1288"/>
      <c r="E238" s="2403" t="s">
        <v>1155</v>
      </c>
      <c r="F238" s="2404"/>
      <c r="G238" s="2404"/>
      <c r="H238" s="2404"/>
      <c r="I238" s="2404"/>
      <c r="J238" s="2404"/>
      <c r="K238" s="2405"/>
    </row>
    <row r="239" spans="1:13" ht="14.4" x14ac:dyDescent="0.25">
      <c r="A239" s="256">
        <v>11</v>
      </c>
      <c r="B239" s="256"/>
      <c r="C239" s="1288"/>
      <c r="D239" s="1288"/>
      <c r="E239" s="2412" t="s">
        <v>1157</v>
      </c>
      <c r="F239" s="2413"/>
      <c r="G239" s="2413"/>
      <c r="H239" s="2413"/>
      <c r="I239" s="2413"/>
      <c r="J239" s="2413"/>
      <c r="K239" s="2414"/>
    </row>
    <row r="240" spans="1:13" ht="116.25" customHeight="1" x14ac:dyDescent="0.25">
      <c r="A240" s="256"/>
      <c r="B240" s="256"/>
      <c r="C240" s="1288"/>
      <c r="D240" s="1288"/>
      <c r="E240" s="2403" t="s">
        <v>1919</v>
      </c>
      <c r="F240" s="2404"/>
      <c r="G240" s="2404"/>
      <c r="H240" s="2404"/>
      <c r="I240" s="2404"/>
      <c r="J240" s="2404"/>
      <c r="K240" s="2405"/>
    </row>
    <row r="241" spans="1:11" ht="14.4" x14ac:dyDescent="0.25">
      <c r="A241" s="256">
        <v>11</v>
      </c>
      <c r="B241" s="256"/>
      <c r="C241" s="1288"/>
      <c r="D241" s="1288"/>
      <c r="E241" s="2412" t="s">
        <v>1158</v>
      </c>
      <c r="F241" s="2413"/>
      <c r="G241" s="2413"/>
      <c r="H241" s="2413"/>
      <c r="I241" s="2413"/>
      <c r="J241" s="2413"/>
      <c r="K241" s="2414"/>
    </row>
    <row r="242" spans="1:11" ht="54" customHeight="1" x14ac:dyDescent="0.25">
      <c r="A242" s="256"/>
      <c r="B242" s="256"/>
      <c r="C242" s="1288"/>
      <c r="D242" s="1288"/>
      <c r="E242" s="2403" t="s">
        <v>1920</v>
      </c>
      <c r="F242" s="2404"/>
      <c r="G242" s="2404"/>
      <c r="H242" s="2404"/>
      <c r="I242" s="2404"/>
      <c r="J242" s="2404"/>
      <c r="K242" s="2405"/>
    </row>
    <row r="243" spans="1:11" ht="14.4" x14ac:dyDescent="0.25">
      <c r="A243" s="256"/>
      <c r="B243" s="256"/>
      <c r="C243" s="1288"/>
      <c r="D243" s="1288"/>
      <c r="E243" s="2403"/>
      <c r="F243" s="2404"/>
      <c r="G243" s="2404"/>
      <c r="H243" s="2404"/>
      <c r="I243" s="2404"/>
      <c r="J243" s="2404"/>
      <c r="K243" s="2405"/>
    </row>
    <row r="244" spans="1:11" ht="14.4" x14ac:dyDescent="0.25">
      <c r="A244" s="256">
        <v>3</v>
      </c>
      <c r="B244" s="256"/>
      <c r="C244" s="1288"/>
      <c r="D244" s="1288"/>
      <c r="E244" s="2406" t="s">
        <v>1007</v>
      </c>
      <c r="F244" s="2407"/>
      <c r="G244" s="2407"/>
      <c r="H244" s="2407"/>
      <c r="I244" s="2407"/>
      <c r="J244" s="2407"/>
      <c r="K244" s="2408"/>
    </row>
    <row r="245" spans="1:11" ht="37.5" customHeight="1" x14ac:dyDescent="0.25">
      <c r="A245" s="256"/>
      <c r="B245" s="256"/>
      <c r="C245" s="1288"/>
      <c r="D245" s="1288"/>
      <c r="E245" s="2403" t="s">
        <v>1008</v>
      </c>
      <c r="F245" s="2404"/>
      <c r="G245" s="2404"/>
      <c r="H245" s="2404"/>
      <c r="I245" s="2404"/>
      <c r="J245" s="2404"/>
      <c r="K245" s="2405"/>
    </row>
    <row r="246" spans="1:11" ht="27.75" customHeight="1" x14ac:dyDescent="0.25">
      <c r="A246" s="256"/>
      <c r="B246" s="256"/>
      <c r="C246" s="1288"/>
      <c r="D246" s="1288"/>
      <c r="E246" s="2403" t="s">
        <v>1000</v>
      </c>
      <c r="F246" s="2404"/>
      <c r="G246" s="2404"/>
      <c r="H246" s="2404"/>
      <c r="I246" s="2404"/>
      <c r="J246" s="2404"/>
      <c r="K246" s="2405"/>
    </row>
    <row r="247" spans="1:11" ht="68.25" customHeight="1" x14ac:dyDescent="0.25">
      <c r="A247" s="256"/>
      <c r="B247" s="256"/>
      <c r="C247" s="1288"/>
      <c r="D247" s="1288"/>
      <c r="E247" s="2403" t="s">
        <v>1001</v>
      </c>
      <c r="F247" s="2404"/>
      <c r="G247" s="2404"/>
      <c r="H247" s="2404"/>
      <c r="I247" s="2404"/>
      <c r="J247" s="2404"/>
      <c r="K247" s="2405"/>
    </row>
    <row r="248" spans="1:11" ht="31.5" customHeight="1" x14ac:dyDescent="0.25">
      <c r="A248" s="256"/>
      <c r="B248" s="256"/>
      <c r="C248" s="1288"/>
      <c r="D248" s="1288"/>
      <c r="E248" s="2403" t="s">
        <v>1002</v>
      </c>
      <c r="F248" s="2404"/>
      <c r="G248" s="2404"/>
      <c r="H248" s="2404"/>
      <c r="I248" s="2404"/>
      <c r="J248" s="2404"/>
      <c r="K248" s="2405"/>
    </row>
    <row r="249" spans="1:11" ht="51" customHeight="1" thickBot="1" x14ac:dyDescent="0.3">
      <c r="A249" s="256"/>
      <c r="B249" s="256"/>
      <c r="C249" s="1288"/>
      <c r="D249" s="1288"/>
      <c r="E249" s="2409" t="s">
        <v>1003</v>
      </c>
      <c r="F249" s="2410"/>
      <c r="G249" s="2410"/>
      <c r="H249" s="2410"/>
      <c r="I249" s="2410"/>
      <c r="J249" s="2410"/>
      <c r="K249" s="2411"/>
    </row>
    <row r="250" spans="1:11" ht="14.4" x14ac:dyDescent="0.25">
      <c r="A250" s="256"/>
      <c r="B250" s="256"/>
      <c r="E250" s="2402"/>
      <c r="F250" s="2402"/>
      <c r="G250" s="2402"/>
      <c r="H250" s="2402"/>
      <c r="I250" s="2402"/>
      <c r="J250" s="2402"/>
      <c r="K250" s="2402"/>
    </row>
    <row r="251" spans="1:11" ht="14.4" x14ac:dyDescent="0.25">
      <c r="A251" s="256"/>
      <c r="B251" s="256"/>
      <c r="E251" s="2402"/>
      <c r="F251" s="2402"/>
      <c r="G251" s="2402"/>
      <c r="H251" s="2402"/>
      <c r="I251" s="2402"/>
      <c r="J251" s="2402"/>
      <c r="K251" s="2402"/>
    </row>
    <row r="252" spans="1:11" ht="14.4" x14ac:dyDescent="0.25">
      <c r="E252" s="2402"/>
      <c r="F252" s="2402"/>
      <c r="G252" s="2402"/>
      <c r="H252" s="2402"/>
      <c r="I252" s="2402"/>
      <c r="J252" s="2402"/>
      <c r="K252" s="2402"/>
    </row>
    <row r="253" spans="1:11" ht="14.4" x14ac:dyDescent="0.25">
      <c r="E253" s="2402"/>
      <c r="F253" s="2402"/>
      <c r="G253" s="2402"/>
      <c r="H253" s="2402"/>
      <c r="I253" s="2402"/>
      <c r="J253" s="2402"/>
      <c r="K253" s="2402"/>
    </row>
    <row r="254" spans="1:11" ht="14.4" x14ac:dyDescent="0.25">
      <c r="E254" s="2402"/>
      <c r="F254" s="2402"/>
      <c r="G254" s="2402"/>
      <c r="H254" s="2402"/>
      <c r="I254" s="2402"/>
      <c r="J254" s="2402"/>
      <c r="K254" s="2402"/>
    </row>
    <row r="255" spans="1:11" ht="14.4" x14ac:dyDescent="0.25">
      <c r="E255" s="2402"/>
      <c r="F255" s="2402"/>
      <c r="G255" s="2402"/>
      <c r="H255" s="2402"/>
      <c r="I255" s="2402"/>
      <c r="J255" s="2402"/>
      <c r="K255" s="2402"/>
    </row>
    <row r="256" spans="1:11" ht="14.4" x14ac:dyDescent="0.25">
      <c r="E256" s="2402"/>
      <c r="F256" s="2402"/>
      <c r="G256" s="2402"/>
      <c r="H256" s="2402"/>
      <c r="I256" s="2402"/>
      <c r="J256" s="2402"/>
      <c r="K256" s="2402"/>
    </row>
    <row r="257" spans="5:11" ht="14.4" x14ac:dyDescent="0.25">
      <c r="E257" s="2402"/>
      <c r="F257" s="2402"/>
      <c r="G257" s="2402"/>
      <c r="H257" s="2402"/>
      <c r="I257" s="2402"/>
      <c r="J257" s="2402"/>
      <c r="K257" s="2402"/>
    </row>
    <row r="258" spans="5:11" ht="14.4" x14ac:dyDescent="0.25">
      <c r="E258" s="2402"/>
      <c r="F258" s="2402"/>
      <c r="G258" s="2402"/>
      <c r="H258" s="2402"/>
      <c r="I258" s="2402"/>
      <c r="J258" s="2402"/>
      <c r="K258" s="2402"/>
    </row>
    <row r="259" spans="5:11" ht="14.4" x14ac:dyDescent="0.25">
      <c r="E259" s="2402"/>
      <c r="F259" s="2402"/>
      <c r="G259" s="2402"/>
      <c r="H259" s="2402"/>
      <c r="I259" s="2402"/>
      <c r="J259" s="2402"/>
      <c r="K259" s="2402"/>
    </row>
  </sheetData>
  <mergeCells count="158">
    <mergeCell ref="G9:H9"/>
    <mergeCell ref="G11:H11"/>
    <mergeCell ref="G12:H12"/>
    <mergeCell ref="E172:H172"/>
    <mergeCell ref="G144:H144"/>
    <mergeCell ref="G146:H146"/>
    <mergeCell ref="G147:H147"/>
    <mergeCell ref="E218:H218"/>
    <mergeCell ref="E221:K221"/>
    <mergeCell ref="E186:H186"/>
    <mergeCell ref="E187:H187"/>
    <mergeCell ref="E188:H188"/>
    <mergeCell ref="E189:H189"/>
    <mergeCell ref="E190:H190"/>
    <mergeCell ref="E191:H191"/>
    <mergeCell ref="E179:H179"/>
    <mergeCell ref="E180:H180"/>
    <mergeCell ref="E181:H181"/>
    <mergeCell ref="E184:H184"/>
    <mergeCell ref="E185:H185"/>
    <mergeCell ref="E174:H174"/>
    <mergeCell ref="E175:H175"/>
    <mergeCell ref="E176:H176"/>
    <mergeCell ref="E177:H177"/>
    <mergeCell ref="E225:H225"/>
    <mergeCell ref="I225:J225"/>
    <mergeCell ref="E200:K200"/>
    <mergeCell ref="E210:K210"/>
    <mergeCell ref="E215:H215"/>
    <mergeCell ref="E216:H216"/>
    <mergeCell ref="E217:H217"/>
    <mergeCell ref="E192:H192"/>
    <mergeCell ref="E194:H194"/>
    <mergeCell ref="E195:H195"/>
    <mergeCell ref="E196:H196"/>
    <mergeCell ref="E197:H197"/>
    <mergeCell ref="E198:H198"/>
    <mergeCell ref="E178:H178"/>
    <mergeCell ref="E157:K157"/>
    <mergeCell ref="E160:K160"/>
    <mergeCell ref="E161:K161"/>
    <mergeCell ref="E162:H162"/>
    <mergeCell ref="E164:H164"/>
    <mergeCell ref="E166:H166"/>
    <mergeCell ref="E148:K148"/>
    <mergeCell ref="E150:K150"/>
    <mergeCell ref="E151:K151"/>
    <mergeCell ref="E153:K153"/>
    <mergeCell ref="E156:K156"/>
    <mergeCell ref="E154:K154"/>
    <mergeCell ref="E133:H133"/>
    <mergeCell ref="E136:K136"/>
    <mergeCell ref="E140:H140"/>
    <mergeCell ref="E141:H141"/>
    <mergeCell ref="I140:J140"/>
    <mergeCell ref="I141:J141"/>
    <mergeCell ref="L110:R110"/>
    <mergeCell ref="E125:K125"/>
    <mergeCell ref="E127:H127"/>
    <mergeCell ref="E129:H129"/>
    <mergeCell ref="E130:H130"/>
    <mergeCell ref="E131:H131"/>
    <mergeCell ref="E110:H110"/>
    <mergeCell ref="E111:H111"/>
    <mergeCell ref="E112:H112"/>
    <mergeCell ref="E108:H108"/>
    <mergeCell ref="E116:K116"/>
    <mergeCell ref="E102:H102"/>
    <mergeCell ref="E103:H103"/>
    <mergeCell ref="E104:H104"/>
    <mergeCell ref="E105:H105"/>
    <mergeCell ref="E106:H106"/>
    <mergeCell ref="E109:H109"/>
    <mergeCell ref="E132:H132"/>
    <mergeCell ref="E94:H94"/>
    <mergeCell ref="E95:H95"/>
    <mergeCell ref="E98:H98"/>
    <mergeCell ref="E99:H99"/>
    <mergeCell ref="E100:H100"/>
    <mergeCell ref="E101:H101"/>
    <mergeCell ref="E88:H88"/>
    <mergeCell ref="E89:H89"/>
    <mergeCell ref="E90:H90"/>
    <mergeCell ref="E91:H91"/>
    <mergeCell ref="E92:H92"/>
    <mergeCell ref="E93:H93"/>
    <mergeCell ref="E97:H97"/>
    <mergeCell ref="E87:H87"/>
    <mergeCell ref="E81:H81"/>
    <mergeCell ref="E83:H83"/>
    <mergeCell ref="E85:H85"/>
    <mergeCell ref="E64:H64"/>
    <mergeCell ref="E65:H65"/>
    <mergeCell ref="E66:H66"/>
    <mergeCell ref="E67:H67"/>
    <mergeCell ref="E75:K75"/>
    <mergeCell ref="E76:K76"/>
    <mergeCell ref="E13:K13"/>
    <mergeCell ref="E14:K14"/>
    <mergeCell ref="E33:H33"/>
    <mergeCell ref="E36:H36"/>
    <mergeCell ref="E37:H37"/>
    <mergeCell ref="E38:H38"/>
    <mergeCell ref="E26:H26"/>
    <mergeCell ref="E29:H29"/>
    <mergeCell ref="E30:H30"/>
    <mergeCell ref="E31:H31"/>
    <mergeCell ref="E32:H32"/>
    <mergeCell ref="E229:K229"/>
    <mergeCell ref="E230:K230"/>
    <mergeCell ref="E231:K231"/>
    <mergeCell ref="E232:K232"/>
    <mergeCell ref="E233:K233"/>
    <mergeCell ref="E15:K15"/>
    <mergeCell ref="E18:K18"/>
    <mergeCell ref="E21:H21"/>
    <mergeCell ref="E23:H23"/>
    <mergeCell ref="E24:H24"/>
    <mergeCell ref="E25:H25"/>
    <mergeCell ref="E53:H53"/>
    <mergeCell ref="E54:H54"/>
    <mergeCell ref="E55:H55"/>
    <mergeCell ref="E56:H56"/>
    <mergeCell ref="E62:K62"/>
    <mergeCell ref="E41:H41"/>
    <mergeCell ref="E42:H42"/>
    <mergeCell ref="E43:H43"/>
    <mergeCell ref="E44:H44"/>
    <mergeCell ref="E47:K47"/>
    <mergeCell ref="E51:K51"/>
    <mergeCell ref="E77:K77"/>
    <mergeCell ref="E80:K80"/>
    <mergeCell ref="E234:K234"/>
    <mergeCell ref="E235:K235"/>
    <mergeCell ref="E236:K236"/>
    <mergeCell ref="E237:K237"/>
    <mergeCell ref="E238:K238"/>
    <mergeCell ref="E239:K239"/>
    <mergeCell ref="E240:K240"/>
    <mergeCell ref="E241:K241"/>
    <mergeCell ref="E242:K242"/>
    <mergeCell ref="E252:K252"/>
    <mergeCell ref="E253:K253"/>
    <mergeCell ref="E254:K254"/>
    <mergeCell ref="E255:K255"/>
    <mergeCell ref="E256:K256"/>
    <mergeCell ref="E257:K257"/>
    <mergeCell ref="E258:K258"/>
    <mergeCell ref="E259:K259"/>
    <mergeCell ref="E243:K243"/>
    <mergeCell ref="E244:K244"/>
    <mergeCell ref="E245:K245"/>
    <mergeCell ref="E246:K246"/>
    <mergeCell ref="E247:K247"/>
    <mergeCell ref="E248:K248"/>
    <mergeCell ref="E249:K249"/>
    <mergeCell ref="E250:K250"/>
    <mergeCell ref="E251:K251"/>
  </mergeCells>
  <pageMargins left="0.31496062992125984" right="0.31496062992125984" top="0.35433070866141736" bottom="0.35433070866141736" header="0.11811023622047245" footer="0.11811023622047245"/>
  <pageSetup paperSize="9" orientation="portrait" r:id="rId1"/>
  <headerFooter>
    <oddFooter>&amp;R&amp;P</oddFooter>
  </headerFooter>
  <rowBreaks count="4" manualBreakCount="4">
    <brk id="58" min="2" max="10" man="1"/>
    <brk id="113" min="2" max="10" man="1"/>
    <brk id="170" min="2" max="10" man="1"/>
    <brk id="22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H86"/>
  <sheetViews>
    <sheetView view="pageBreakPreview" zoomScaleNormal="100" zoomScaleSheetLayoutView="100" workbookViewId="0"/>
  </sheetViews>
  <sheetFormatPr defaultColWidth="9" defaultRowHeight="13.8" x14ac:dyDescent="0.25"/>
  <cols>
    <col min="1" max="1" width="8.8984375" style="6" bestFit="1" customWidth="1"/>
    <col min="2" max="2" width="6.3984375" style="6" bestFit="1" customWidth="1"/>
    <col min="3" max="3" width="4" style="1" customWidth="1"/>
    <col min="4" max="5" width="3.69921875" style="6" customWidth="1"/>
    <col min="6" max="6" width="3" style="6" customWidth="1"/>
    <col min="7" max="7" width="10.69921875" style="6" customWidth="1"/>
    <col min="8" max="8" width="10.19921875" style="6" customWidth="1"/>
    <col min="9" max="11" width="8.69921875" style="6" customWidth="1"/>
    <col min="12" max="12" width="7.3984375" style="6" customWidth="1"/>
    <col min="13" max="13" width="7.8984375" style="6" customWidth="1"/>
    <col min="14" max="14" width="8" style="6" customWidth="1"/>
    <col min="15" max="15" width="2.8984375" style="6" customWidth="1"/>
    <col min="16" max="16" width="3.09765625" style="6" customWidth="1"/>
    <col min="17" max="17" width="12.09765625" style="497" customWidth="1"/>
    <col min="18" max="18" width="15.19921875" style="6" customWidth="1"/>
    <col min="19" max="19" width="8.59765625" style="6" customWidth="1"/>
    <col min="20" max="20" width="11.59765625" style="6" customWidth="1"/>
    <col min="21" max="21" width="5.19921875" style="6" customWidth="1"/>
    <col min="22" max="22" width="15.59765625" style="6" customWidth="1"/>
    <col min="23" max="23" width="14" style="6" customWidth="1"/>
    <col min="24" max="16384" width="9" style="6"/>
  </cols>
  <sheetData>
    <row r="1" spans="1:20" s="1" customFormat="1" ht="16.5" customHeight="1" x14ac:dyDescent="0.25">
      <c r="A1" s="468" t="s">
        <v>206</v>
      </c>
      <c r="B1" s="468"/>
      <c r="C1" s="407" t="str">
        <f>IF('Merge Details_Printing instr'!$B$11="Insert details here",'Merge Details_Printing instr'!$A$11,'Merge Details_Printing instr'!$B$11)</f>
        <v>Council Name</v>
      </c>
      <c r="D1" s="407"/>
      <c r="E1" s="408"/>
      <c r="F1" s="408"/>
      <c r="G1" s="408"/>
      <c r="H1" s="408"/>
      <c r="I1" s="408"/>
      <c r="J1" s="549" t="s">
        <v>303</v>
      </c>
      <c r="L1" s="548"/>
      <c r="M1" s="549"/>
      <c r="N1" s="549"/>
      <c r="O1" s="548"/>
      <c r="P1" s="161"/>
      <c r="Q1" s="510"/>
      <c r="R1" s="161"/>
    </row>
    <row r="2" spans="1:20" s="32" customFormat="1" ht="17.25" customHeight="1" x14ac:dyDescent="0.25">
      <c r="A2" s="468" t="s">
        <v>696</v>
      </c>
      <c r="B2" s="468" t="s">
        <v>207</v>
      </c>
      <c r="C2" s="409" t="str">
        <f>'Merge Details_Printing instr'!A12</f>
        <v>2023-2024 Financial Report</v>
      </c>
      <c r="D2" s="409"/>
      <c r="E2" s="410"/>
      <c r="F2" s="410"/>
      <c r="G2" s="410"/>
      <c r="H2" s="410"/>
      <c r="I2" s="410"/>
      <c r="J2" s="550" t="str">
        <f>'Merge Details_Printing instr'!$A$14</f>
        <v>For the Year Ended 30 June 2024</v>
      </c>
      <c r="K2" s="547"/>
      <c r="L2" s="547"/>
      <c r="M2" s="550"/>
      <c r="N2" s="550"/>
      <c r="O2" s="547"/>
      <c r="P2" s="415"/>
      <c r="Q2" s="511"/>
      <c r="R2" s="217"/>
    </row>
    <row r="3" spans="1:20" s="32" customFormat="1" ht="7.5" customHeight="1" x14ac:dyDescent="0.25">
      <c r="A3" s="199"/>
      <c r="B3" s="73"/>
      <c r="C3" s="411"/>
      <c r="D3" s="412"/>
      <c r="E3" s="412"/>
      <c r="F3" s="413"/>
      <c r="G3" s="413"/>
      <c r="H3" s="413"/>
      <c r="I3" s="413"/>
      <c r="J3" s="413"/>
      <c r="K3" s="413"/>
      <c r="L3" s="413"/>
      <c r="M3" s="413"/>
      <c r="N3" s="413"/>
      <c r="O3" s="413"/>
      <c r="P3" s="415"/>
      <c r="Q3" s="512"/>
      <c r="R3" s="200"/>
    </row>
    <row r="4" spans="1:20" ht="14.4" x14ac:dyDescent="0.25">
      <c r="A4" s="146"/>
      <c r="B4" s="366"/>
      <c r="C4" s="1375"/>
      <c r="D4" s="1747" t="s">
        <v>286</v>
      </c>
      <c r="E4" s="1748">
        <f>'Note 10.3'!D4+0.1</f>
        <v>10.4</v>
      </c>
      <c r="F4" s="1749" t="s">
        <v>1289</v>
      </c>
      <c r="G4" s="1750"/>
      <c r="H4" s="1750"/>
      <c r="I4" s="1750"/>
      <c r="J4" s="1750"/>
      <c r="K4" s="1750"/>
      <c r="L4" s="1750"/>
      <c r="M4" s="1750"/>
      <c r="N4" s="1750"/>
      <c r="O4" s="1750"/>
      <c r="P4" s="415"/>
      <c r="Q4" s="513"/>
      <c r="R4" s="216"/>
      <c r="S4" s="216"/>
      <c r="T4" s="14"/>
    </row>
    <row r="5" spans="1:20" ht="11.25" customHeight="1" x14ac:dyDescent="0.25">
      <c r="A5" s="278"/>
      <c r="B5" s="596"/>
      <c r="C5" s="1375"/>
      <c r="D5" s="1749"/>
      <c r="E5" s="1749"/>
      <c r="F5" s="1751"/>
      <c r="G5" s="1750"/>
      <c r="H5" s="1750"/>
      <c r="I5" s="1750"/>
      <c r="J5" s="1750"/>
      <c r="K5" s="1750"/>
      <c r="L5" s="1750"/>
      <c r="M5" s="1750"/>
      <c r="N5" s="1750"/>
      <c r="O5" s="1750"/>
      <c r="P5" s="415"/>
      <c r="Q5" s="513"/>
      <c r="R5" s="216"/>
      <c r="S5" s="216"/>
      <c r="T5" s="14"/>
    </row>
    <row r="6" spans="1:20" ht="18" customHeight="1" x14ac:dyDescent="0.25">
      <c r="A6" s="278"/>
      <c r="B6" s="596"/>
      <c r="C6" s="1375"/>
      <c r="D6" s="1749"/>
      <c r="E6" s="1752" t="s">
        <v>942</v>
      </c>
      <c r="F6" s="2455" t="s">
        <v>540</v>
      </c>
      <c r="G6" s="2455"/>
      <c r="H6" s="2455"/>
      <c r="I6" s="2455"/>
      <c r="J6" s="2455"/>
      <c r="K6" s="2455"/>
      <c r="L6" s="2455"/>
      <c r="M6" s="2455"/>
      <c r="N6" s="2455"/>
      <c r="O6" s="2455"/>
      <c r="P6" s="415"/>
      <c r="Q6" s="513"/>
      <c r="R6" s="216"/>
      <c r="S6" s="216"/>
      <c r="T6" s="14"/>
    </row>
    <row r="7" spans="1:20" ht="18" x14ac:dyDescent="0.25">
      <c r="A7" s="278"/>
      <c r="B7" s="596"/>
      <c r="C7" s="1375"/>
      <c r="D7" s="1749"/>
      <c r="E7" s="1749"/>
      <c r="F7" s="2445" t="s">
        <v>757</v>
      </c>
      <c r="G7" s="2445"/>
      <c r="H7" s="2445"/>
      <c r="I7" s="2445"/>
      <c r="J7" s="2445"/>
      <c r="K7" s="2445"/>
      <c r="L7" s="2445"/>
      <c r="M7" s="2445"/>
      <c r="N7" s="2445"/>
      <c r="O7" s="2445"/>
      <c r="P7" s="415"/>
      <c r="Q7" s="513"/>
      <c r="R7" s="216"/>
      <c r="S7" s="216"/>
      <c r="T7" s="14"/>
    </row>
    <row r="8" spans="1:20" ht="18" x14ac:dyDescent="0.25">
      <c r="A8" s="278"/>
      <c r="B8" s="596"/>
      <c r="C8" s="1375"/>
      <c r="D8" s="1749"/>
      <c r="E8" s="1749"/>
      <c r="F8" s="1751" t="s">
        <v>1150</v>
      </c>
      <c r="G8" s="1750"/>
      <c r="H8" s="1750"/>
      <c r="I8" s="1750"/>
      <c r="J8" s="1750"/>
      <c r="K8" s="1750"/>
      <c r="L8" s="1750"/>
      <c r="M8" s="1750"/>
      <c r="N8" s="1750"/>
      <c r="O8" s="1750"/>
      <c r="P8" s="415"/>
      <c r="Q8" s="513"/>
      <c r="R8" s="216"/>
      <c r="S8" s="216"/>
      <c r="T8" s="14"/>
    </row>
    <row r="9" spans="1:20" ht="54.75" customHeight="1" x14ac:dyDescent="0.25">
      <c r="A9" s="596" t="s">
        <v>2055</v>
      </c>
      <c r="B9" s="155" t="s">
        <v>688</v>
      </c>
      <c r="C9" s="1753"/>
      <c r="D9" s="1749"/>
      <c r="E9" s="1749"/>
      <c r="F9" s="2445" t="s">
        <v>280</v>
      </c>
      <c r="G9" s="2445"/>
      <c r="H9" s="2445"/>
      <c r="I9" s="2445"/>
      <c r="J9" s="2445"/>
      <c r="K9" s="2445"/>
      <c r="L9" s="2445"/>
      <c r="M9" s="2445"/>
      <c r="N9" s="2445"/>
      <c r="O9" s="2445"/>
      <c r="P9" s="415"/>
      <c r="Q9" s="513"/>
      <c r="R9" s="216"/>
      <c r="S9" s="216"/>
      <c r="T9" s="14"/>
    </row>
    <row r="10" spans="1:20" ht="31.5" customHeight="1" x14ac:dyDescent="0.25">
      <c r="A10" s="596" t="s">
        <v>579</v>
      </c>
      <c r="B10" s="155">
        <v>10</v>
      </c>
      <c r="C10" s="1753"/>
      <c r="D10" s="1749"/>
      <c r="E10" s="1749"/>
      <c r="F10" s="2445" t="s">
        <v>313</v>
      </c>
      <c r="G10" s="2445"/>
      <c r="H10" s="2445"/>
      <c r="I10" s="2445"/>
      <c r="J10" s="2445"/>
      <c r="K10" s="2445"/>
      <c r="L10" s="2445"/>
      <c r="M10" s="2445"/>
      <c r="N10" s="2445"/>
      <c r="O10" s="2445"/>
      <c r="P10" s="415"/>
      <c r="Q10" s="513"/>
      <c r="R10" s="216"/>
      <c r="S10" s="216"/>
      <c r="T10" s="14"/>
    </row>
    <row r="11" spans="1:20" ht="9.75" customHeight="1" x14ac:dyDescent="0.25">
      <c r="A11" s="278"/>
      <c r="B11" s="596"/>
      <c r="C11" s="1375"/>
      <c r="D11" s="1749"/>
      <c r="E11" s="1749"/>
      <c r="F11" s="1751"/>
      <c r="G11" s="1750"/>
      <c r="H11" s="1750"/>
      <c r="I11" s="1750"/>
      <c r="J11" s="1750"/>
      <c r="K11" s="1750"/>
      <c r="L11" s="1750"/>
      <c r="M11" s="1750"/>
      <c r="N11" s="1750"/>
      <c r="O11" s="1750"/>
      <c r="P11" s="415"/>
      <c r="Q11" s="513"/>
      <c r="R11" s="216"/>
      <c r="S11" s="216"/>
      <c r="T11" s="14"/>
    </row>
    <row r="12" spans="1:20" ht="18" customHeight="1" x14ac:dyDescent="0.25">
      <c r="A12" s="278"/>
      <c r="B12" s="596"/>
      <c r="C12" s="1375"/>
      <c r="D12" s="1693"/>
      <c r="E12" s="1752" t="s">
        <v>180</v>
      </c>
      <c r="F12" s="2455" t="s">
        <v>1387</v>
      </c>
      <c r="G12" s="2455"/>
      <c r="H12" s="2455"/>
      <c r="I12" s="2455"/>
      <c r="J12" s="2455"/>
      <c r="K12" s="2455"/>
      <c r="L12" s="2455"/>
      <c r="M12" s="2455"/>
      <c r="N12" s="2455"/>
      <c r="O12" s="2455"/>
      <c r="P12" s="415"/>
      <c r="Q12" s="513"/>
      <c r="R12" s="216"/>
      <c r="S12" s="216"/>
      <c r="T12" s="14"/>
    </row>
    <row r="13" spans="1:20" ht="113.25" customHeight="1" x14ac:dyDescent="0.25">
      <c r="A13" s="596" t="s">
        <v>807</v>
      </c>
      <c r="B13" s="315" t="s">
        <v>1386</v>
      </c>
      <c r="C13" s="1754"/>
      <c r="D13" s="1749"/>
      <c r="E13" s="1749"/>
      <c r="F13" s="2445" t="s">
        <v>1193</v>
      </c>
      <c r="G13" s="2445"/>
      <c r="H13" s="2445"/>
      <c r="I13" s="2445"/>
      <c r="J13" s="2445"/>
      <c r="K13" s="2445"/>
      <c r="L13" s="2445"/>
      <c r="M13" s="2445"/>
      <c r="N13" s="2445"/>
      <c r="O13" s="2445"/>
      <c r="P13" s="415"/>
      <c r="Q13" s="602"/>
      <c r="R13" s="216"/>
      <c r="S13" s="216"/>
      <c r="T13" s="14"/>
    </row>
    <row r="14" spans="1:20" ht="9.75" customHeight="1" x14ac:dyDescent="0.25">
      <c r="A14" s="278"/>
      <c r="B14" s="596"/>
      <c r="C14" s="1375"/>
      <c r="D14" s="1749"/>
      <c r="E14" s="1749"/>
      <c r="F14" s="1751"/>
      <c r="G14" s="1750"/>
      <c r="H14" s="1750"/>
      <c r="I14" s="1750"/>
      <c r="J14" s="1750"/>
      <c r="K14" s="1750"/>
      <c r="L14" s="1750"/>
      <c r="M14" s="1750"/>
      <c r="N14" s="1750"/>
      <c r="O14" s="1750"/>
      <c r="P14" s="415"/>
      <c r="R14" s="216"/>
      <c r="S14" s="216"/>
      <c r="T14" s="14"/>
    </row>
    <row r="15" spans="1:20" ht="18" x14ac:dyDescent="0.25">
      <c r="A15" s="278"/>
      <c r="B15" s="596"/>
      <c r="C15" s="1375"/>
      <c r="D15" s="1749"/>
      <c r="E15" s="1752" t="s">
        <v>940</v>
      </c>
      <c r="F15" s="2455" t="s">
        <v>564</v>
      </c>
      <c r="G15" s="2455"/>
      <c r="H15" s="2455"/>
      <c r="I15" s="2455"/>
      <c r="J15" s="2455"/>
      <c r="K15" s="2455"/>
      <c r="L15" s="2455"/>
      <c r="M15" s="2455"/>
      <c r="N15" s="2455"/>
      <c r="O15" s="2455"/>
      <c r="P15" s="415"/>
      <c r="R15" s="216"/>
      <c r="S15" s="216"/>
      <c r="T15" s="14"/>
    </row>
    <row r="16" spans="1:20" ht="63" customHeight="1" x14ac:dyDescent="0.25">
      <c r="A16" s="596">
        <v>101</v>
      </c>
      <c r="B16" s="596">
        <v>60</v>
      </c>
      <c r="C16" s="1375"/>
      <c r="D16" s="1749"/>
      <c r="E16" s="1749"/>
      <c r="F16" s="2445" t="s">
        <v>299</v>
      </c>
      <c r="G16" s="2445"/>
      <c r="H16" s="2445"/>
      <c r="I16" s="2445"/>
      <c r="J16" s="2445"/>
      <c r="K16" s="2445"/>
      <c r="L16" s="2445"/>
      <c r="M16" s="2445"/>
      <c r="N16" s="2445"/>
      <c r="O16" s="2445"/>
      <c r="P16" s="415"/>
      <c r="R16" s="216"/>
      <c r="S16" s="216"/>
      <c r="T16" s="14"/>
    </row>
    <row r="17" spans="1:34" ht="6.75" customHeight="1" x14ac:dyDescent="0.25">
      <c r="A17" s="278"/>
      <c r="B17" s="596"/>
      <c r="C17" s="1375"/>
      <c r="D17" s="1749"/>
      <c r="E17" s="1749"/>
      <c r="F17" s="1751"/>
      <c r="G17" s="1750"/>
      <c r="H17" s="1750"/>
      <c r="I17" s="1750"/>
      <c r="J17" s="1750"/>
      <c r="K17" s="1750"/>
      <c r="L17" s="1750"/>
      <c r="M17" s="1750"/>
      <c r="N17" s="1750"/>
      <c r="O17" s="1750"/>
      <c r="P17" s="415"/>
      <c r="R17" s="216"/>
      <c r="S17" s="216"/>
      <c r="T17" s="14"/>
    </row>
    <row r="18" spans="1:34" ht="18" x14ac:dyDescent="0.25">
      <c r="A18" s="278"/>
      <c r="B18" s="596"/>
      <c r="C18" s="1375"/>
      <c r="D18" s="1749"/>
      <c r="E18" s="1752" t="s">
        <v>1151</v>
      </c>
      <c r="F18" s="2455" t="s">
        <v>31</v>
      </c>
      <c r="G18" s="2455"/>
      <c r="H18" s="2455"/>
      <c r="I18" s="2455"/>
      <c r="J18" s="2455"/>
      <c r="K18" s="2455"/>
      <c r="L18" s="2455"/>
      <c r="M18" s="2455"/>
      <c r="N18" s="2455"/>
      <c r="O18" s="2455"/>
      <c r="P18" s="415"/>
      <c r="R18" s="216"/>
      <c r="S18" s="216"/>
      <c r="T18" s="14"/>
    </row>
    <row r="19" spans="1:34" ht="84.75" customHeight="1" x14ac:dyDescent="0.25">
      <c r="A19" s="596">
        <v>137</v>
      </c>
      <c r="B19" s="596"/>
      <c r="C19" s="1375"/>
      <c r="D19" s="1749"/>
      <c r="E19" s="1749"/>
      <c r="F19" s="2445" t="s">
        <v>1921</v>
      </c>
      <c r="G19" s="2445"/>
      <c r="H19" s="2445"/>
      <c r="I19" s="2445"/>
      <c r="J19" s="2445"/>
      <c r="K19" s="2445"/>
      <c r="L19" s="2445"/>
      <c r="M19" s="2445"/>
      <c r="N19" s="2445"/>
      <c r="O19" s="2445"/>
      <c r="P19" s="415"/>
      <c r="R19" s="216"/>
      <c r="S19" s="216"/>
      <c r="T19" s="14"/>
    </row>
    <row r="20" spans="1:34" ht="10.5" customHeight="1" x14ac:dyDescent="0.25">
      <c r="A20" s="278"/>
      <c r="B20" s="596"/>
      <c r="C20" s="1375"/>
      <c r="D20" s="1749"/>
      <c r="E20" s="1749"/>
      <c r="F20" s="1751"/>
      <c r="G20" s="1750"/>
      <c r="H20" s="1750"/>
      <c r="I20" s="1750"/>
      <c r="J20" s="1750"/>
      <c r="K20" s="1750"/>
      <c r="L20" s="1750"/>
      <c r="M20" s="1750"/>
      <c r="N20" s="1750"/>
      <c r="O20" s="1750"/>
      <c r="P20" s="415"/>
      <c r="R20" s="216"/>
      <c r="S20" s="216"/>
      <c r="T20" s="14"/>
    </row>
    <row r="21" spans="1:34" ht="18" x14ac:dyDescent="0.25">
      <c r="A21" s="278"/>
      <c r="B21" s="596"/>
      <c r="C21" s="1375"/>
      <c r="D21" s="1749"/>
      <c r="E21" s="1752" t="s">
        <v>1152</v>
      </c>
      <c r="F21" s="2455" t="s">
        <v>724</v>
      </c>
      <c r="G21" s="2455"/>
      <c r="H21" s="2455"/>
      <c r="I21" s="2455"/>
      <c r="J21" s="2455"/>
      <c r="K21" s="2455"/>
      <c r="L21" s="2455"/>
      <c r="M21" s="2455"/>
      <c r="N21" s="2455"/>
      <c r="O21" s="2455"/>
      <c r="P21" s="415"/>
      <c r="R21" s="216"/>
      <c r="S21" s="216"/>
    </row>
    <row r="22" spans="1:34" ht="46.5" customHeight="1" x14ac:dyDescent="0.25">
      <c r="A22" s="278"/>
      <c r="B22" s="596"/>
      <c r="C22" s="1375"/>
      <c r="D22" s="1749"/>
      <c r="E22" s="1749"/>
      <c r="F22" s="2445" t="s">
        <v>758</v>
      </c>
      <c r="G22" s="2445"/>
      <c r="H22" s="2445"/>
      <c r="I22" s="2445"/>
      <c r="J22" s="2445"/>
      <c r="K22" s="2445"/>
      <c r="L22" s="2445"/>
      <c r="M22" s="2445"/>
      <c r="N22" s="2445"/>
      <c r="O22" s="2445"/>
      <c r="P22" s="415"/>
      <c r="R22" s="216"/>
      <c r="S22" s="216"/>
    </row>
    <row r="23" spans="1:34" ht="30.75" customHeight="1" x14ac:dyDescent="0.25">
      <c r="A23" s="278"/>
      <c r="B23" s="596"/>
      <c r="C23" s="1375"/>
      <c r="D23" s="1749"/>
      <c r="E23" s="1749"/>
      <c r="F23" s="2445" t="s">
        <v>786</v>
      </c>
      <c r="G23" s="2445"/>
      <c r="H23" s="2445"/>
      <c r="I23" s="2445"/>
      <c r="J23" s="2445"/>
      <c r="K23" s="2445"/>
      <c r="L23" s="2445"/>
      <c r="M23" s="2445"/>
      <c r="N23" s="2445"/>
      <c r="O23" s="2445"/>
      <c r="P23" s="415"/>
      <c r="R23" s="216"/>
      <c r="S23" s="216"/>
    </row>
    <row r="24" spans="1:34" ht="12.75" customHeight="1" x14ac:dyDescent="0.25">
      <c r="A24" s="278"/>
      <c r="B24" s="596"/>
      <c r="C24" s="1375"/>
      <c r="D24" s="1749"/>
      <c r="E24" s="1749"/>
      <c r="F24" s="1751"/>
      <c r="G24" s="1750"/>
      <c r="H24" s="1750"/>
      <c r="I24" s="1750"/>
      <c r="J24" s="1750"/>
      <c r="K24" s="1750"/>
      <c r="L24" s="1750"/>
      <c r="M24" s="1750"/>
      <c r="N24" s="1750"/>
      <c r="O24" s="1750"/>
      <c r="P24" s="415"/>
      <c r="Q24" s="513"/>
      <c r="R24" s="216"/>
      <c r="S24" s="216"/>
    </row>
    <row r="25" spans="1:34" ht="18" x14ac:dyDescent="0.25">
      <c r="A25" s="278"/>
      <c r="B25" s="596"/>
      <c r="C25" s="1375"/>
      <c r="D25" s="1749"/>
      <c r="E25" s="1752" t="s">
        <v>963</v>
      </c>
      <c r="F25" s="2455" t="s">
        <v>66</v>
      </c>
      <c r="G25" s="2455"/>
      <c r="H25" s="2455"/>
      <c r="I25" s="2455"/>
      <c r="J25" s="2455"/>
      <c r="K25" s="2455"/>
      <c r="L25" s="2455"/>
      <c r="M25" s="2455"/>
      <c r="N25" s="2455"/>
      <c r="O25" s="2455"/>
      <c r="P25" s="415"/>
      <c r="Q25" s="513"/>
      <c r="R25" s="216"/>
      <c r="S25" s="216"/>
    </row>
    <row r="26" spans="1:34" ht="30.75" customHeight="1" x14ac:dyDescent="0.25">
      <c r="A26" s="596" t="s">
        <v>690</v>
      </c>
      <c r="B26" s="596" t="s">
        <v>808</v>
      </c>
      <c r="C26" s="1375"/>
      <c r="D26" s="1749"/>
      <c r="E26" s="1749"/>
      <c r="F26" s="2446" t="s">
        <v>1972</v>
      </c>
      <c r="G26" s="2446"/>
      <c r="H26" s="2446"/>
      <c r="I26" s="2446"/>
      <c r="J26" s="2446"/>
      <c r="K26" s="2446"/>
      <c r="L26" s="2446"/>
      <c r="M26" s="2446"/>
      <c r="N26" s="2446"/>
      <c r="O26" s="2446"/>
      <c r="P26" s="415"/>
      <c r="Q26" s="602" t="s">
        <v>1750</v>
      </c>
      <c r="R26" s="216"/>
      <c r="S26" s="216"/>
    </row>
    <row r="27" spans="1:34" ht="12" customHeight="1" x14ac:dyDescent="0.25">
      <c r="A27" s="278"/>
      <c r="B27" s="596"/>
      <c r="C27" s="1375"/>
      <c r="D27" s="1749"/>
      <c r="E27" s="1749"/>
      <c r="F27" s="1751"/>
      <c r="G27" s="1750"/>
      <c r="H27" s="1750"/>
      <c r="I27" s="1750"/>
      <c r="J27" s="1750"/>
      <c r="K27" s="1750"/>
      <c r="L27" s="1750"/>
      <c r="M27" s="1750"/>
      <c r="N27" s="1750"/>
      <c r="O27" s="1750"/>
      <c r="P27" s="415"/>
      <c r="Q27" s="564" t="s">
        <v>1342</v>
      </c>
      <c r="R27" s="216"/>
      <c r="S27" s="216"/>
    </row>
    <row r="28" spans="1:34" s="46" customFormat="1" ht="14.4" x14ac:dyDescent="0.25">
      <c r="A28" s="596">
        <v>108</v>
      </c>
      <c r="B28" s="596" t="s">
        <v>168</v>
      </c>
      <c r="C28" s="1375"/>
      <c r="D28" s="1755"/>
      <c r="E28" s="1752" t="s">
        <v>886</v>
      </c>
      <c r="F28" s="2455" t="s">
        <v>999</v>
      </c>
      <c r="G28" s="2455"/>
      <c r="H28" s="2455"/>
      <c r="I28" s="2455"/>
      <c r="J28" s="2455"/>
      <c r="K28" s="2455"/>
      <c r="L28" s="2455"/>
      <c r="M28" s="2455"/>
      <c r="N28" s="2455"/>
      <c r="O28" s="2455"/>
      <c r="P28" s="485"/>
      <c r="Q28" s="2443" t="s">
        <v>1343</v>
      </c>
      <c r="R28" s="2443"/>
      <c r="S28" s="2443"/>
      <c r="T28" s="2443"/>
      <c r="U28" s="2443"/>
      <c r="V28" s="2443"/>
      <c r="W28" s="2443"/>
      <c r="X28" s="2443"/>
      <c r="Y28" s="2443"/>
      <c r="Z28" s="2443"/>
    </row>
    <row r="29" spans="1:34" s="46" customFormat="1" ht="43.5" customHeight="1" thickBot="1" x14ac:dyDescent="0.3">
      <c r="A29" s="596"/>
      <c r="B29" s="596"/>
      <c r="C29" s="1375"/>
      <c r="D29" s="1755"/>
      <c r="E29" s="1752"/>
      <c r="F29" s="2230" t="s">
        <v>1192</v>
      </c>
      <c r="G29" s="2230"/>
      <c r="H29" s="2230"/>
      <c r="I29" s="2230"/>
      <c r="J29" s="2230"/>
      <c r="K29" s="2230"/>
      <c r="L29" s="2230"/>
      <c r="M29" s="2230"/>
      <c r="N29" s="2230"/>
      <c r="O29" s="2230"/>
      <c r="P29" s="485"/>
      <c r="Q29" s="2443"/>
      <c r="R29" s="2443"/>
      <c r="S29" s="2443"/>
      <c r="T29" s="2443"/>
      <c r="U29" s="2443"/>
      <c r="V29" s="2443"/>
      <c r="W29" s="2443"/>
      <c r="X29" s="2443"/>
      <c r="Y29" s="2443"/>
      <c r="Z29" s="2443"/>
    </row>
    <row r="30" spans="1:34" ht="89.25" customHeight="1" thickTop="1" thickBot="1" x14ac:dyDescent="0.3">
      <c r="A30" s="596"/>
      <c r="B30" s="596"/>
      <c r="C30" s="1928"/>
      <c r="D30" s="1756"/>
      <c r="E30" s="1001"/>
      <c r="F30" s="2447" t="s">
        <v>1994</v>
      </c>
      <c r="G30" s="2448"/>
      <c r="H30" s="2448"/>
      <c r="I30" s="2448"/>
      <c r="J30" s="2448"/>
      <c r="K30" s="2448"/>
      <c r="L30" s="2448"/>
      <c r="M30" s="2448"/>
      <c r="N30" s="2448"/>
      <c r="O30" s="2449"/>
      <c r="P30" s="598"/>
      <c r="Q30" s="2443"/>
      <c r="R30" s="2443"/>
      <c r="S30" s="2443"/>
      <c r="T30" s="2443"/>
      <c r="U30" s="2443"/>
      <c r="V30" s="2443"/>
      <c r="W30" s="2443"/>
      <c r="X30" s="2443"/>
      <c r="Y30" s="2443"/>
      <c r="Z30" s="2443"/>
      <c r="AB30" s="2125"/>
      <c r="AC30" s="2125"/>
      <c r="AD30" s="2125"/>
      <c r="AE30" s="2125"/>
      <c r="AF30" s="2125"/>
      <c r="AG30" s="2125"/>
      <c r="AH30" s="2125"/>
    </row>
    <row r="31" spans="1:34" ht="16.5" customHeight="1" thickTop="1" x14ac:dyDescent="0.25">
      <c r="A31" s="596"/>
      <c r="B31" s="596"/>
      <c r="C31" s="1375"/>
      <c r="D31" s="1756"/>
      <c r="E31" s="1757" t="s">
        <v>142</v>
      </c>
      <c r="F31" s="2446" t="s">
        <v>1747</v>
      </c>
      <c r="G31" s="2446"/>
      <c r="H31" s="2446"/>
      <c r="I31" s="2446"/>
      <c r="J31" s="2446"/>
      <c r="K31" s="2446"/>
      <c r="L31" s="2446"/>
      <c r="M31" s="2446"/>
      <c r="N31" s="2446"/>
      <c r="O31" s="2446"/>
      <c r="P31" s="598"/>
      <c r="Q31" s="2443"/>
      <c r="R31" s="2443"/>
      <c r="S31" s="2443"/>
      <c r="T31" s="2443"/>
      <c r="U31" s="2443"/>
      <c r="V31" s="2443"/>
      <c r="W31" s="2443"/>
      <c r="X31" s="2443"/>
      <c r="Y31" s="2443"/>
      <c r="Z31" s="2443"/>
    </row>
    <row r="32" spans="1:34" ht="16.5" customHeight="1" x14ac:dyDescent="0.25">
      <c r="A32" s="648"/>
      <c r="B32" s="648"/>
      <c r="C32" s="1375"/>
      <c r="D32" s="1756"/>
      <c r="E32" s="1757" t="s">
        <v>784</v>
      </c>
      <c r="F32" s="2446" t="s">
        <v>1747</v>
      </c>
      <c r="G32" s="2446"/>
      <c r="H32" s="2446"/>
      <c r="I32" s="2446"/>
      <c r="J32" s="2446"/>
      <c r="K32" s="2446"/>
      <c r="L32" s="2446"/>
      <c r="M32" s="2446"/>
      <c r="N32" s="2446"/>
      <c r="O32" s="2446"/>
      <c r="P32" s="647"/>
      <c r="Q32" s="2443"/>
      <c r="R32" s="2443"/>
      <c r="S32" s="2443"/>
      <c r="T32" s="2443"/>
      <c r="U32" s="2443"/>
      <c r="V32" s="2443"/>
      <c r="W32" s="2443"/>
      <c r="X32" s="2443"/>
      <c r="Y32" s="2443"/>
      <c r="Z32" s="2443"/>
    </row>
    <row r="33" spans="1:28" ht="14.4" x14ac:dyDescent="0.25">
      <c r="A33" s="741"/>
      <c r="B33" s="741"/>
      <c r="C33" s="1375"/>
      <c r="D33" s="1756"/>
      <c r="E33" s="1757"/>
      <c r="F33" s="1290"/>
      <c r="G33" s="1290"/>
      <c r="H33" s="1290"/>
      <c r="I33" s="1290"/>
      <c r="J33" s="1290"/>
      <c r="K33" s="1290"/>
      <c r="L33" s="1290"/>
      <c r="M33" s="1290"/>
      <c r="N33" s="1290"/>
      <c r="O33" s="1290"/>
      <c r="P33" s="740"/>
      <c r="Q33" s="2443"/>
      <c r="R33" s="2443"/>
      <c r="S33" s="2443"/>
      <c r="T33" s="2443"/>
      <c r="U33" s="2443"/>
      <c r="V33" s="2443"/>
      <c r="W33" s="2443"/>
      <c r="X33" s="2443"/>
      <c r="Y33" s="2443"/>
      <c r="Z33" s="2443"/>
    </row>
    <row r="34" spans="1:28" ht="14.4" x14ac:dyDescent="0.25">
      <c r="A34" s="621"/>
      <c r="B34" s="621"/>
      <c r="C34" s="1375"/>
      <c r="D34" s="1758"/>
      <c r="E34" s="1759" t="s">
        <v>887</v>
      </c>
      <c r="F34" s="1759" t="s">
        <v>1388</v>
      </c>
      <c r="G34" s="1759"/>
      <c r="H34" s="1759"/>
      <c r="I34" s="1759"/>
      <c r="J34" s="1759"/>
      <c r="K34" s="1759"/>
      <c r="L34" s="1759"/>
      <c r="M34" s="1759"/>
      <c r="N34" s="1759"/>
      <c r="O34" s="1760"/>
      <c r="P34" s="486"/>
      <c r="Q34" s="2444" t="s">
        <v>1322</v>
      </c>
      <c r="R34" s="2444"/>
      <c r="S34" s="2444"/>
      <c r="U34" s="625" t="s">
        <v>1323</v>
      </c>
      <c r="V34" s="489"/>
    </row>
    <row r="35" spans="1:28" ht="33.75" customHeight="1" x14ac:dyDescent="0.25">
      <c r="A35" s="621">
        <v>108</v>
      </c>
      <c r="B35" s="596">
        <v>30</v>
      </c>
      <c r="C35" s="1761"/>
      <c r="D35" s="1758"/>
      <c r="E35" s="955"/>
      <c r="F35" s="2445" t="str">
        <f>"Certain new accounting standards and interpretations have been published that are not mandatory for 30 June "&amp;'Merge Details_Printing instr'!A19&amp;" reporting periods. Council's assessment of the impact of the relevant new standards and interpretations is set out below."</f>
        <v>Certain new accounting standards and interpretations have been published that are not mandatory for 30 June 2024 reporting periods. Council's assessment of the impact of the relevant new standards and interpretations is set out below.</v>
      </c>
      <c r="G35" s="2445"/>
      <c r="H35" s="2445"/>
      <c r="I35" s="2445"/>
      <c r="J35" s="2445"/>
      <c r="K35" s="2445"/>
      <c r="L35" s="2445"/>
      <c r="M35" s="2445"/>
      <c r="N35" s="2445"/>
      <c r="O35" s="2445"/>
      <c r="P35" s="486"/>
      <c r="Q35" s="2444" t="s">
        <v>1359</v>
      </c>
      <c r="R35" s="2444"/>
      <c r="S35" s="2444"/>
      <c r="U35" s="2443" t="s">
        <v>1341</v>
      </c>
      <c r="V35" s="2443"/>
      <c r="W35" s="2443"/>
      <c r="X35" s="2443"/>
      <c r="Y35" s="2443"/>
      <c r="Z35" s="2443"/>
      <c r="AA35" s="2443"/>
      <c r="AB35" s="2443"/>
    </row>
    <row r="36" spans="1:28" ht="8.25" customHeight="1" x14ac:dyDescent="0.25">
      <c r="A36" s="621"/>
      <c r="B36" s="621"/>
      <c r="C36" s="1758"/>
      <c r="D36" s="1758"/>
      <c r="E36" s="1758"/>
      <c r="F36" s="1762"/>
      <c r="G36" s="1762"/>
      <c r="H36" s="1762"/>
      <c r="I36" s="1762"/>
      <c r="J36" s="1762"/>
      <c r="K36" s="1762"/>
      <c r="L36" s="1762"/>
      <c r="M36" s="1762"/>
      <c r="N36" s="1762"/>
      <c r="O36" s="1762"/>
      <c r="P36" s="486"/>
      <c r="U36" s="2443"/>
      <c r="V36" s="2443"/>
      <c r="W36" s="2443"/>
      <c r="X36" s="2443"/>
      <c r="Y36" s="2443"/>
      <c r="Z36" s="2443"/>
      <c r="AA36" s="2443"/>
      <c r="AB36" s="2443"/>
    </row>
    <row r="37" spans="1:28" x14ac:dyDescent="0.25">
      <c r="C37" s="1764"/>
      <c r="D37" s="1756"/>
      <c r="E37" s="1757" t="s">
        <v>142</v>
      </c>
      <c r="F37" s="2446" t="s">
        <v>2027</v>
      </c>
      <c r="G37" s="2446"/>
      <c r="H37" s="2446"/>
      <c r="I37" s="2446"/>
      <c r="J37" s="2446"/>
      <c r="K37" s="2446"/>
      <c r="L37" s="2446"/>
      <c r="M37" s="2446"/>
      <c r="N37" s="2446"/>
      <c r="O37" s="2446"/>
      <c r="P37" s="486"/>
      <c r="Q37" s="2442"/>
      <c r="R37" s="2442"/>
      <c r="S37" s="2442"/>
      <c r="T37" s="2442"/>
      <c r="U37" s="2443"/>
      <c r="V37" s="2443"/>
      <c r="W37" s="2443"/>
      <c r="X37" s="2443"/>
      <c r="Y37" s="2443"/>
      <c r="Z37" s="2443"/>
      <c r="AA37" s="2443"/>
      <c r="AB37" s="2443"/>
    </row>
    <row r="38" spans="1:28" ht="75.599999999999994" customHeight="1" x14ac:dyDescent="0.25">
      <c r="C38" s="1764"/>
      <c r="D38" s="1758"/>
      <c r="E38" s="1763"/>
      <c r="F38" s="2230" t="s">
        <v>2028</v>
      </c>
      <c r="G38" s="2230"/>
      <c r="H38" s="2230"/>
      <c r="I38" s="2230"/>
      <c r="J38" s="2230"/>
      <c r="K38" s="2230"/>
      <c r="L38" s="2230"/>
      <c r="M38" s="2230"/>
      <c r="N38" s="2230"/>
      <c r="O38" s="2230"/>
      <c r="P38" s="486"/>
      <c r="Q38" s="2442"/>
      <c r="R38" s="2442"/>
      <c r="S38" s="2442"/>
      <c r="T38" s="2442"/>
      <c r="U38" s="2443"/>
      <c r="V38" s="2443"/>
      <c r="W38" s="2443"/>
      <c r="X38" s="2443"/>
      <c r="Y38" s="2443"/>
      <c r="Z38" s="2443"/>
      <c r="AA38" s="2443"/>
      <c r="AB38" s="2443"/>
    </row>
    <row r="39" spans="1:28" ht="30.75" customHeight="1" x14ac:dyDescent="0.25">
      <c r="C39" s="1764"/>
      <c r="D39" s="1756"/>
      <c r="E39" s="1757" t="s">
        <v>784</v>
      </c>
      <c r="F39" s="2446" t="s">
        <v>1922</v>
      </c>
      <c r="G39" s="2446"/>
      <c r="H39" s="2446"/>
      <c r="I39" s="2446"/>
      <c r="J39" s="2446"/>
      <c r="K39" s="2446"/>
      <c r="L39" s="2446"/>
      <c r="M39" s="2446"/>
      <c r="N39" s="2446"/>
      <c r="O39" s="2446"/>
      <c r="P39" s="486"/>
      <c r="Q39" s="2442"/>
      <c r="R39" s="2442"/>
      <c r="S39" s="2442"/>
      <c r="T39" s="2442"/>
      <c r="U39" s="2443"/>
      <c r="V39" s="2443"/>
      <c r="W39" s="2443"/>
      <c r="X39" s="2443"/>
      <c r="Y39" s="2443"/>
      <c r="Z39" s="2443"/>
      <c r="AA39" s="2443"/>
      <c r="AB39" s="2443"/>
    </row>
    <row r="40" spans="1:28" ht="117.75" customHeight="1" x14ac:dyDescent="0.25">
      <c r="C40" s="1764"/>
      <c r="D40" s="1758"/>
      <c r="E40" s="1763"/>
      <c r="F40" s="2230" t="s">
        <v>1973</v>
      </c>
      <c r="G40" s="2230"/>
      <c r="H40" s="2230"/>
      <c r="I40" s="2230"/>
      <c r="J40" s="2230"/>
      <c r="K40" s="2230"/>
      <c r="L40" s="2230"/>
      <c r="M40" s="2230"/>
      <c r="N40" s="2230"/>
      <c r="O40" s="2230"/>
      <c r="P40" s="486"/>
      <c r="Q40" s="2442"/>
      <c r="R40" s="2442"/>
      <c r="S40" s="2442"/>
      <c r="T40" s="2442"/>
      <c r="U40" s="2443"/>
      <c r="V40" s="2443"/>
      <c r="W40" s="2443"/>
      <c r="X40" s="2443"/>
      <c r="Y40" s="2443"/>
      <c r="Z40" s="2443"/>
      <c r="AA40" s="2443"/>
      <c r="AB40" s="2443"/>
    </row>
    <row r="41" spans="1:28" x14ac:dyDescent="0.25">
      <c r="C41" s="1758"/>
      <c r="D41" s="1758"/>
      <c r="E41" s="1763"/>
      <c r="F41" s="1763"/>
      <c r="G41" s="1763"/>
      <c r="H41" s="1763"/>
      <c r="I41" s="1763"/>
      <c r="J41" s="1763"/>
      <c r="K41" s="1763"/>
      <c r="L41" s="1763"/>
      <c r="M41" s="1763"/>
      <c r="N41" s="1763"/>
      <c r="O41" s="1763"/>
      <c r="P41" s="486"/>
      <c r="Q41" s="2442"/>
      <c r="R41" s="2442"/>
      <c r="S41" s="2442"/>
      <c r="T41" s="2442"/>
      <c r="U41" s="2443"/>
      <c r="V41" s="2443"/>
      <c r="W41" s="2443"/>
      <c r="X41" s="2443"/>
      <c r="Y41" s="2443"/>
      <c r="Z41" s="2443"/>
      <c r="AA41" s="2443"/>
      <c r="AB41" s="2443"/>
    </row>
    <row r="42" spans="1:28" ht="16.5" customHeight="1" x14ac:dyDescent="0.25">
      <c r="A42" s="596"/>
      <c r="B42" s="596"/>
      <c r="C42" s="1758"/>
      <c r="D42" s="1758"/>
      <c r="E42" s="1757" t="s">
        <v>784</v>
      </c>
      <c r="F42" s="2446" t="s">
        <v>1746</v>
      </c>
      <c r="G42" s="2446"/>
      <c r="H42" s="2446"/>
      <c r="I42" s="2446"/>
      <c r="J42" s="2446"/>
      <c r="K42" s="2446"/>
      <c r="L42" s="2446"/>
      <c r="M42" s="2446"/>
      <c r="N42" s="2446"/>
      <c r="O42" s="2446"/>
      <c r="P42" s="486"/>
      <c r="Q42" s="2442"/>
      <c r="R42" s="2442"/>
      <c r="S42" s="2442"/>
      <c r="T42" s="2442"/>
      <c r="U42" s="2443"/>
      <c r="V42" s="2443"/>
      <c r="W42" s="2443"/>
      <c r="X42" s="2443"/>
      <c r="Y42" s="2443"/>
      <c r="Z42" s="2443"/>
      <c r="AA42" s="2443"/>
      <c r="AB42" s="2443"/>
    </row>
    <row r="43" spans="1:28" ht="14.4" x14ac:dyDescent="0.25">
      <c r="A43" s="596"/>
      <c r="B43" s="596"/>
      <c r="C43" s="1758"/>
      <c r="D43" s="1758"/>
      <c r="E43" s="1758"/>
      <c r="F43" s="2451"/>
      <c r="G43" s="2451"/>
      <c r="H43" s="2451"/>
      <c r="I43" s="2451"/>
      <c r="J43" s="2451"/>
      <c r="K43" s="2451"/>
      <c r="L43" s="2451"/>
      <c r="M43" s="2451"/>
      <c r="N43" s="2451"/>
      <c r="O43" s="2451"/>
      <c r="P43" s="486"/>
      <c r="Q43" s="2442"/>
      <c r="R43" s="2442"/>
      <c r="S43" s="2442"/>
      <c r="T43" s="2442"/>
      <c r="U43" s="2443"/>
      <c r="V43" s="2443"/>
      <c r="W43" s="2443"/>
      <c r="X43" s="2443"/>
      <c r="Y43" s="2443"/>
      <c r="Z43" s="2443"/>
      <c r="AA43" s="2443"/>
      <c r="AB43" s="2443"/>
    </row>
    <row r="44" spans="1:28" x14ac:dyDescent="0.25">
      <c r="C44" s="1758"/>
      <c r="D44" s="1001"/>
      <c r="E44" s="1001"/>
      <c r="F44" s="1001"/>
      <c r="G44" s="1001"/>
      <c r="H44" s="1001"/>
      <c r="I44" s="1001"/>
      <c r="J44" s="1001"/>
      <c r="K44" s="1001"/>
      <c r="L44" s="1001"/>
      <c r="M44" s="1001"/>
      <c r="N44" s="1001"/>
      <c r="O44" s="1001"/>
      <c r="P44" s="486"/>
      <c r="Q44" s="2442"/>
      <c r="R44" s="2442"/>
      <c r="S44" s="2442"/>
      <c r="T44" s="2442"/>
      <c r="U44" s="2443"/>
      <c r="V44" s="2443"/>
      <c r="W44" s="2443"/>
      <c r="X44" s="2443"/>
      <c r="Y44" s="2443"/>
      <c r="Z44" s="2443"/>
      <c r="AA44" s="2443"/>
      <c r="AB44" s="2443"/>
    </row>
    <row r="45" spans="1:28" ht="16.5" customHeight="1" x14ac:dyDescent="0.25">
      <c r="A45" s="596"/>
      <c r="B45" s="596"/>
      <c r="C45" s="1758"/>
      <c r="D45" s="1756"/>
      <c r="E45" s="1001"/>
      <c r="F45" s="1001"/>
      <c r="G45" s="1001"/>
      <c r="H45" s="1001"/>
      <c r="I45" s="1001"/>
      <c r="J45" s="1001"/>
      <c r="K45" s="1001"/>
      <c r="L45" s="1001"/>
      <c r="M45" s="1001"/>
      <c r="N45" s="1001"/>
      <c r="O45" s="1001"/>
      <c r="P45" s="598"/>
      <c r="Q45" s="2442"/>
      <c r="R45" s="2442"/>
      <c r="S45" s="2442"/>
      <c r="T45" s="2442"/>
      <c r="U45" s="2443"/>
      <c r="V45" s="2443"/>
      <c r="W45" s="2443"/>
      <c r="X45" s="2443"/>
      <c r="Y45" s="2443"/>
      <c r="Z45" s="2443"/>
      <c r="AA45" s="2443"/>
      <c r="AB45" s="2443"/>
    </row>
    <row r="46" spans="1:28" ht="31.5" customHeight="1" x14ac:dyDescent="0.25">
      <c r="A46" s="611"/>
      <c r="B46" s="611"/>
      <c r="C46" s="1758"/>
      <c r="D46" s="1756"/>
      <c r="E46" s="1363"/>
      <c r="F46" s="2230" t="s">
        <v>1194</v>
      </c>
      <c r="G46" s="2230"/>
      <c r="H46" s="2230"/>
      <c r="I46" s="2230"/>
      <c r="J46" s="2230"/>
      <c r="K46" s="2230"/>
      <c r="L46" s="2230"/>
      <c r="M46" s="2230"/>
      <c r="N46" s="2230"/>
      <c r="O46" s="2230"/>
      <c r="P46" s="610"/>
      <c r="Q46" s="612"/>
      <c r="R46" s="609"/>
      <c r="U46" s="2443"/>
      <c r="V46" s="2443"/>
      <c r="W46" s="2443"/>
      <c r="X46" s="2443"/>
      <c r="Y46" s="2443"/>
      <c r="Z46" s="2443"/>
      <c r="AA46" s="2443"/>
      <c r="AB46" s="2443"/>
    </row>
    <row r="47" spans="1:28" ht="16.5" customHeight="1" thickBot="1" x14ac:dyDescent="0.3">
      <c r="A47" s="611"/>
      <c r="B47" s="611"/>
      <c r="C47" s="1758"/>
      <c r="D47" s="1756"/>
      <c r="E47" s="1001"/>
      <c r="F47" s="1001"/>
      <c r="G47" s="1001"/>
      <c r="H47" s="1001"/>
      <c r="I47" s="1001"/>
      <c r="J47" s="1001"/>
      <c r="K47" s="1001"/>
      <c r="L47" s="1001"/>
      <c r="M47" s="1001"/>
      <c r="N47" s="1001"/>
      <c r="O47" s="1001"/>
      <c r="P47" s="610"/>
      <c r="Q47" s="612"/>
      <c r="R47" s="609"/>
      <c r="U47" s="2443"/>
      <c r="V47" s="2443"/>
      <c r="W47" s="2443"/>
      <c r="X47" s="2443"/>
      <c r="Y47" s="2443"/>
      <c r="Z47" s="2443"/>
      <c r="AA47" s="2443"/>
      <c r="AB47" s="2443"/>
    </row>
    <row r="48" spans="1:28" ht="45.75" customHeight="1" thickTop="1" thickBot="1" x14ac:dyDescent="0.3">
      <c r="A48" s="611"/>
      <c r="B48" s="611"/>
      <c r="C48" s="1758"/>
      <c r="D48" s="1756"/>
      <c r="E48" s="2452" t="s">
        <v>1753</v>
      </c>
      <c r="F48" s="2453"/>
      <c r="G48" s="2453"/>
      <c r="H48" s="2453"/>
      <c r="I48" s="2453"/>
      <c r="J48" s="2453"/>
      <c r="K48" s="2453"/>
      <c r="L48" s="2453"/>
      <c r="M48" s="2453"/>
      <c r="N48" s="2454"/>
      <c r="O48" s="1001"/>
      <c r="P48" s="610"/>
      <c r="Q48" s="612"/>
      <c r="R48" s="609"/>
      <c r="U48" s="2443"/>
      <c r="V48" s="2443"/>
      <c r="W48" s="2443"/>
      <c r="X48" s="2443"/>
      <c r="Y48" s="2443"/>
      <c r="Z48" s="2443"/>
      <c r="AA48" s="2443"/>
      <c r="AB48" s="2443"/>
    </row>
    <row r="49" spans="1:18" ht="15" thickTop="1" x14ac:dyDescent="0.25">
      <c r="A49" s="611"/>
      <c r="B49" s="611"/>
      <c r="C49" s="1375"/>
      <c r="D49" s="1756"/>
      <c r="E49" s="2450"/>
      <c r="F49" s="2450"/>
      <c r="G49" s="2450"/>
      <c r="H49" s="2450"/>
      <c r="I49" s="2450"/>
      <c r="J49" s="2450"/>
      <c r="K49" s="2450"/>
      <c r="L49" s="2450"/>
      <c r="M49" s="2450"/>
      <c r="N49" s="2450"/>
      <c r="O49" s="2450"/>
      <c r="P49" s="610"/>
      <c r="Q49" s="612"/>
      <c r="R49" s="609"/>
    </row>
    <row r="50" spans="1:18" ht="31.5" customHeight="1" x14ac:dyDescent="0.25">
      <c r="A50" s="596"/>
      <c r="B50" s="596"/>
      <c r="C50" s="414"/>
      <c r="D50" s="417"/>
      <c r="E50" s="408"/>
      <c r="F50" s="408"/>
      <c r="G50" s="408"/>
      <c r="H50" s="408"/>
      <c r="I50" s="408"/>
      <c r="J50" s="408"/>
      <c r="K50" s="408"/>
      <c r="L50" s="408"/>
      <c r="M50" s="408"/>
      <c r="N50" s="408"/>
      <c r="O50" s="408"/>
      <c r="P50" s="598"/>
      <c r="Q50" s="597"/>
      <c r="R50" s="595"/>
    </row>
    <row r="64" spans="1:18" ht="14.4" thickBot="1" x14ac:dyDescent="0.3"/>
    <row r="65" spans="7:16" ht="66.75" customHeight="1" thickTop="1" thickBot="1" x14ac:dyDescent="0.3">
      <c r="G65" s="2439" t="s">
        <v>1752</v>
      </c>
      <c r="H65" s="2440"/>
      <c r="I65" s="2440"/>
      <c r="J65" s="2440"/>
      <c r="K65" s="2440"/>
      <c r="L65" s="2440"/>
      <c r="M65" s="2440"/>
      <c r="N65" s="2440"/>
      <c r="O65" s="2440"/>
      <c r="P65" s="2441"/>
    </row>
    <row r="66" spans="7:16" ht="14.4" thickTop="1" x14ac:dyDescent="0.25"/>
    <row r="86" spans="15:15" x14ac:dyDescent="0.25">
      <c r="O86" s="6">
        <f>O85-O84</f>
        <v>0</v>
      </c>
    </row>
  </sheetData>
  <mergeCells count="37">
    <mergeCell ref="Q35:S35"/>
    <mergeCell ref="F6:O6"/>
    <mergeCell ref="F21:O21"/>
    <mergeCell ref="F7:O7"/>
    <mergeCell ref="F9:O9"/>
    <mergeCell ref="F10:O10"/>
    <mergeCell ref="F12:O12"/>
    <mergeCell ref="F13:O13"/>
    <mergeCell ref="F15:O15"/>
    <mergeCell ref="F16:O16"/>
    <mergeCell ref="F18:O18"/>
    <mergeCell ref="F19:O19"/>
    <mergeCell ref="E48:N48"/>
    <mergeCell ref="F46:O46"/>
    <mergeCell ref="F22:O22"/>
    <mergeCell ref="F23:O23"/>
    <mergeCell ref="F25:O25"/>
    <mergeCell ref="F26:O26"/>
    <mergeCell ref="F28:O28"/>
    <mergeCell ref="F39:O39"/>
    <mergeCell ref="F38:O38"/>
    <mergeCell ref="G65:P65"/>
    <mergeCell ref="Q37:T45"/>
    <mergeCell ref="Q28:Z33"/>
    <mergeCell ref="F29:O29"/>
    <mergeCell ref="Q34:S34"/>
    <mergeCell ref="U35:AB48"/>
    <mergeCell ref="F35:O35"/>
    <mergeCell ref="F31:O31"/>
    <mergeCell ref="F30:O30"/>
    <mergeCell ref="F32:O32"/>
    <mergeCell ref="AB30:AH30"/>
    <mergeCell ref="F40:O40"/>
    <mergeCell ref="E49:O49"/>
    <mergeCell ref="F37:O37"/>
    <mergeCell ref="F42:O42"/>
    <mergeCell ref="F43:O43"/>
  </mergeCells>
  <pageMargins left="0.31496062992125984" right="0.31496062992125984" top="0.35433070866141736" bottom="0.35433070866141736" header="0.11811023622047245" footer="0.11811023622047245"/>
  <pageSetup paperSize="9" orientation="portrait" r:id="rId1"/>
  <headerFoot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92D050"/>
  </sheetPr>
  <dimension ref="A1:S50"/>
  <sheetViews>
    <sheetView view="pageBreakPreview" zoomScaleNormal="85" zoomScaleSheetLayoutView="100" workbookViewId="0"/>
  </sheetViews>
  <sheetFormatPr defaultRowHeight="13.8" x14ac:dyDescent="0.25"/>
  <cols>
    <col min="1" max="1" width="7.19921875" style="214" customWidth="1"/>
    <col min="2" max="2" width="9" style="214"/>
    <col min="3" max="3" width="2.59765625" customWidth="1"/>
    <col min="4" max="4" width="3.69921875" style="249" customWidth="1"/>
    <col min="5" max="5" width="3.69921875" customWidth="1"/>
    <col min="6" max="6" width="3.19921875" customWidth="1"/>
    <col min="10" max="15" width="7.8984375" customWidth="1"/>
    <col min="16" max="16" width="10.8984375" customWidth="1"/>
  </cols>
  <sheetData>
    <row r="1" spans="1:19" s="1" customFormat="1" ht="18" x14ac:dyDescent="0.25">
      <c r="A1" s="215" t="s">
        <v>206</v>
      </c>
      <c r="B1" s="145" t="s">
        <v>207</v>
      </c>
      <c r="C1" s="418" t="str">
        <f>IF('Merge Details_Printing instr'!$B$11="Insert details here",'Merge Details_Printing instr'!$A$11,'Merge Details_Printing instr'!$B$11)</f>
        <v>Council Name</v>
      </c>
      <c r="D1" s="408"/>
      <c r="E1" s="408"/>
      <c r="F1" s="408"/>
      <c r="G1" s="408"/>
      <c r="H1" s="408"/>
      <c r="I1" s="408"/>
      <c r="J1" s="419" t="s">
        <v>303</v>
      </c>
      <c r="K1" s="408"/>
      <c r="L1" s="408"/>
      <c r="M1" s="408"/>
      <c r="N1" s="420"/>
      <c r="O1" s="408"/>
      <c r="R1" s="11"/>
      <c r="S1" s="11"/>
    </row>
    <row r="2" spans="1:19" s="32" customFormat="1" ht="16.5" customHeight="1" x14ac:dyDescent="0.25">
      <c r="A2" s="142" t="s">
        <v>109</v>
      </c>
      <c r="B2" s="142" t="s">
        <v>648</v>
      </c>
      <c r="C2" s="421" t="str">
        <f>'Merge Details_Printing instr'!A12</f>
        <v>2023-2024 Financial Report</v>
      </c>
      <c r="D2" s="422"/>
      <c r="E2" s="422"/>
      <c r="F2" s="422"/>
      <c r="G2" s="422"/>
      <c r="H2" s="422"/>
      <c r="I2" s="422"/>
      <c r="J2" s="423" t="str">
        <f>'Merge Details_Printing instr'!$A$14</f>
        <v>For the Year Ended 30 June 2024</v>
      </c>
      <c r="K2" s="422"/>
      <c r="L2" s="422"/>
      <c r="M2" s="424"/>
      <c r="N2" s="424"/>
      <c r="O2" s="424"/>
      <c r="R2" s="34"/>
      <c r="S2" s="34"/>
    </row>
    <row r="3" spans="1:19" s="32" customFormat="1" ht="10.199999999999999" x14ac:dyDescent="0.2">
      <c r="A3" s="212"/>
      <c r="B3" s="213"/>
      <c r="C3" s="425"/>
      <c r="D3" s="425"/>
      <c r="E3" s="425"/>
      <c r="F3" s="425"/>
      <c r="G3" s="425"/>
      <c r="H3" s="426"/>
      <c r="I3" s="426"/>
      <c r="J3" s="426"/>
      <c r="K3" s="427"/>
      <c r="L3" s="427"/>
      <c r="M3" s="427"/>
      <c r="N3" s="425"/>
      <c r="O3" s="425"/>
      <c r="R3" s="34"/>
      <c r="S3" s="34"/>
    </row>
    <row r="4" spans="1:19" s="3" customFormat="1" ht="14.4" x14ac:dyDescent="0.25">
      <c r="B4" s="145"/>
      <c r="C4" s="428"/>
      <c r="D4" s="1765" t="s">
        <v>286</v>
      </c>
      <c r="E4" s="1766">
        <v>10.5</v>
      </c>
      <c r="F4" s="1749" t="s">
        <v>183</v>
      </c>
      <c r="G4" s="1767"/>
      <c r="H4" s="1767"/>
      <c r="I4" s="1767"/>
      <c r="J4" s="1767"/>
      <c r="K4" s="1767"/>
      <c r="L4" s="1767"/>
      <c r="M4" s="1768"/>
      <c r="N4" s="1001"/>
      <c r="O4" s="1001"/>
      <c r="P4" s="438"/>
      <c r="R4" s="19"/>
      <c r="S4" s="19"/>
    </row>
    <row r="5" spans="1:19" s="3" customFormat="1" ht="14.4" x14ac:dyDescent="0.25">
      <c r="C5" s="428"/>
      <c r="D5" s="1001"/>
      <c r="E5" s="1767"/>
      <c r="F5" s="2030" t="s">
        <v>768</v>
      </c>
      <c r="G5" s="2030"/>
      <c r="H5" s="2030"/>
      <c r="I5" s="2030"/>
      <c r="J5" s="2030"/>
      <c r="K5" s="2030"/>
      <c r="L5" s="2030"/>
      <c r="M5" s="2030"/>
      <c r="N5" s="1001"/>
      <c r="O5" s="1001"/>
      <c r="P5" s="246"/>
      <c r="R5" s="19"/>
      <c r="S5" s="19"/>
    </row>
    <row r="6" spans="1:19" x14ac:dyDescent="0.25">
      <c r="C6" s="429"/>
      <c r="D6" s="1769"/>
      <c r="E6" s="1769"/>
      <c r="F6" s="1770"/>
      <c r="G6" s="1770"/>
      <c r="H6" s="1770"/>
      <c r="I6" s="1771"/>
      <c r="J6" s="1769"/>
      <c r="K6" s="1769"/>
      <c r="L6" s="1769"/>
      <c r="M6" s="1769"/>
      <c r="N6" s="1769"/>
      <c r="O6" s="1769"/>
    </row>
    <row r="7" spans="1:19" x14ac:dyDescent="0.25">
      <c r="C7" s="429"/>
      <c r="D7" s="1769"/>
      <c r="E7" s="1772"/>
      <c r="F7" s="1773"/>
      <c r="G7" s="1556"/>
      <c r="H7" s="1556"/>
      <c r="I7" s="1774"/>
      <c r="J7" s="2456" t="s">
        <v>338</v>
      </c>
      <c r="K7" s="2457"/>
      <c r="L7" s="2456" t="s">
        <v>338</v>
      </c>
      <c r="M7" s="2457"/>
      <c r="N7" s="2456" t="s">
        <v>338</v>
      </c>
      <c r="O7" s="2457"/>
    </row>
    <row r="8" spans="1:19" x14ac:dyDescent="0.25">
      <c r="C8" s="429"/>
      <c r="D8" s="1769"/>
      <c r="E8" s="1772"/>
      <c r="F8" s="1775"/>
      <c r="G8" s="1770"/>
      <c r="H8" s="1770"/>
      <c r="I8" s="1776"/>
      <c r="J8" s="1777">
        <f>'Merge Details_Printing instr'!A19</f>
        <v>2024</v>
      </c>
      <c r="K8" s="1777">
        <f>'Merge Details_Printing instr'!A20</f>
        <v>2023</v>
      </c>
      <c r="L8" s="1778">
        <f>J8</f>
        <v>2024</v>
      </c>
      <c r="M8" s="1777">
        <f>K8</f>
        <v>2023</v>
      </c>
      <c r="N8" s="1778">
        <f>L8</f>
        <v>2024</v>
      </c>
      <c r="O8" s="1777">
        <f>M8</f>
        <v>2023</v>
      </c>
    </row>
    <row r="9" spans="1:19" x14ac:dyDescent="0.25">
      <c r="C9" s="429"/>
      <c r="D9" s="1769"/>
      <c r="E9" s="1772"/>
      <c r="F9" s="1779"/>
      <c r="G9" s="1779"/>
      <c r="H9" s="1779"/>
      <c r="I9" s="1769"/>
      <c r="J9" s="1780" t="s">
        <v>60</v>
      </c>
      <c r="K9" s="1780" t="s">
        <v>60</v>
      </c>
      <c r="L9" s="1780" t="s">
        <v>60</v>
      </c>
      <c r="M9" s="1780" t="s">
        <v>60</v>
      </c>
      <c r="N9" s="1780" t="s">
        <v>60</v>
      </c>
      <c r="O9" s="1780" t="s">
        <v>60</v>
      </c>
    </row>
    <row r="10" spans="1:19" x14ac:dyDescent="0.25">
      <c r="C10" s="429"/>
      <c r="D10" s="1769"/>
      <c r="E10" s="1772"/>
      <c r="F10" s="1773" t="s">
        <v>594</v>
      </c>
      <c r="G10" s="1556"/>
      <c r="H10" s="1556"/>
      <c r="I10" s="1769"/>
      <c r="J10" s="1781"/>
      <c r="K10" s="1781"/>
      <c r="L10" s="1781"/>
      <c r="M10" s="1781"/>
      <c r="N10" s="1781"/>
      <c r="O10" s="1781"/>
    </row>
    <row r="11" spans="1:19" x14ac:dyDescent="0.25">
      <c r="C11" s="429"/>
      <c r="D11" s="1769"/>
      <c r="E11" s="1772"/>
      <c r="F11" s="1556"/>
      <c r="G11" s="1556" t="s">
        <v>287</v>
      </c>
      <c r="H11" s="1556"/>
      <c r="I11" s="1769"/>
      <c r="J11" s="1781">
        <v>0</v>
      </c>
      <c r="K11" s="1781">
        <v>0</v>
      </c>
      <c r="L11" s="1781">
        <v>0</v>
      </c>
      <c r="M11" s="1781">
        <v>0</v>
      </c>
      <c r="N11" s="1781">
        <v>0</v>
      </c>
      <c r="O11" s="1781">
        <v>0</v>
      </c>
    </row>
    <row r="12" spans="1:19" x14ac:dyDescent="0.25">
      <c r="C12" s="429"/>
      <c r="D12" s="1769"/>
      <c r="E12" s="1772"/>
      <c r="F12" s="1556"/>
      <c r="G12" s="1556" t="s">
        <v>595</v>
      </c>
      <c r="H12" s="1556"/>
      <c r="I12" s="1769"/>
      <c r="J12" s="1781">
        <v>0</v>
      </c>
      <c r="K12" s="1781">
        <v>0</v>
      </c>
      <c r="L12" s="1781">
        <v>0</v>
      </c>
      <c r="M12" s="1781">
        <v>0</v>
      </c>
      <c r="N12" s="1781">
        <v>0</v>
      </c>
      <c r="O12" s="1781">
        <v>0</v>
      </c>
    </row>
    <row r="13" spans="1:19" x14ac:dyDescent="0.25">
      <c r="C13" s="429"/>
      <c r="D13" s="1769"/>
      <c r="E13" s="1772"/>
      <c r="F13" s="1773"/>
      <c r="G13" s="1556" t="s">
        <v>616</v>
      </c>
      <c r="H13" s="1556"/>
      <c r="I13" s="1769"/>
      <c r="J13" s="1781">
        <v>0</v>
      </c>
      <c r="K13" s="1781">
        <v>0</v>
      </c>
      <c r="L13" s="1781">
        <v>0</v>
      </c>
      <c r="M13" s="1781">
        <v>0</v>
      </c>
      <c r="N13" s="1781">
        <v>0</v>
      </c>
      <c r="O13" s="1781">
        <v>0</v>
      </c>
    </row>
    <row r="14" spans="1:19" x14ac:dyDescent="0.25">
      <c r="C14" s="429"/>
      <c r="D14" s="1769"/>
      <c r="E14" s="1772"/>
      <c r="F14" s="1556"/>
      <c r="G14" s="2031" t="s">
        <v>596</v>
      </c>
      <c r="H14" s="1556"/>
      <c r="I14" s="1769"/>
      <c r="J14" s="1782">
        <f t="shared" ref="J14:O14" si="0">SUM(J10:J13)</f>
        <v>0</v>
      </c>
      <c r="K14" s="1782">
        <f t="shared" si="0"/>
        <v>0</v>
      </c>
      <c r="L14" s="1782">
        <f t="shared" si="0"/>
        <v>0</v>
      </c>
      <c r="M14" s="1782">
        <f t="shared" si="0"/>
        <v>0</v>
      </c>
      <c r="N14" s="1782">
        <f t="shared" si="0"/>
        <v>0</v>
      </c>
      <c r="O14" s="1782">
        <f t="shared" si="0"/>
        <v>0</v>
      </c>
    </row>
    <row r="15" spans="1:19" x14ac:dyDescent="0.25">
      <c r="C15" s="429"/>
      <c r="D15" s="1769"/>
      <c r="E15" s="1772"/>
      <c r="F15" s="1775"/>
      <c r="G15" s="1770"/>
      <c r="H15" s="1770"/>
      <c r="I15" s="1771"/>
      <c r="J15" s="1783"/>
      <c r="K15" s="1783"/>
      <c r="L15" s="1783"/>
      <c r="M15" s="1783"/>
      <c r="N15" s="1783"/>
      <c r="O15" s="1783"/>
    </row>
    <row r="16" spans="1:19" x14ac:dyDescent="0.25">
      <c r="C16" s="429"/>
      <c r="D16" s="1769"/>
      <c r="E16" s="1772"/>
      <c r="F16" s="1773" t="s">
        <v>597</v>
      </c>
      <c r="G16" s="1556"/>
      <c r="H16" s="1556"/>
      <c r="I16" s="1769"/>
      <c r="J16" s="1784"/>
      <c r="K16" s="1784"/>
      <c r="L16" s="1784"/>
      <c r="M16" s="1784"/>
      <c r="N16" s="1784"/>
      <c r="O16" s="1784"/>
    </row>
    <row r="17" spans="3:15" x14ac:dyDescent="0.25">
      <c r="C17" s="429"/>
      <c r="D17" s="1769"/>
      <c r="E17" s="1772"/>
      <c r="F17" s="1556"/>
      <c r="G17" s="1556"/>
      <c r="H17" s="1556"/>
      <c r="I17" s="1769"/>
      <c r="J17" s="1784"/>
      <c r="K17" s="1784"/>
      <c r="L17" s="1784"/>
      <c r="M17" s="1784"/>
      <c r="N17" s="1784"/>
      <c r="O17" s="1784"/>
    </row>
    <row r="18" spans="3:15" x14ac:dyDescent="0.25">
      <c r="C18" s="429"/>
      <c r="D18" s="1769"/>
      <c r="E18" s="1772"/>
      <c r="F18" s="1773" t="s">
        <v>598</v>
      </c>
      <c r="G18" s="1556"/>
      <c r="H18" s="1556"/>
      <c r="I18" s="1769"/>
      <c r="J18" s="1784"/>
      <c r="K18" s="1784"/>
      <c r="L18" s="1784"/>
      <c r="M18" s="1784"/>
      <c r="N18" s="1784"/>
      <c r="O18" s="1784"/>
    </row>
    <row r="19" spans="3:15" x14ac:dyDescent="0.25">
      <c r="C19" s="429"/>
      <c r="D19" s="1769"/>
      <c r="E19" s="1772"/>
      <c r="F19" s="1556"/>
      <c r="G19" s="1556" t="s">
        <v>599</v>
      </c>
      <c r="H19" s="1556"/>
      <c r="I19" s="1769"/>
      <c r="J19" s="1781">
        <v>0</v>
      </c>
      <c r="K19" s="1781">
        <v>0</v>
      </c>
      <c r="L19" s="1781">
        <v>0</v>
      </c>
      <c r="M19" s="1781">
        <v>0</v>
      </c>
      <c r="N19" s="1781">
        <v>0</v>
      </c>
      <c r="O19" s="1781">
        <v>0</v>
      </c>
    </row>
    <row r="20" spans="3:15" x14ac:dyDescent="0.25">
      <c r="C20" s="429"/>
      <c r="D20" s="1769"/>
      <c r="E20" s="1772"/>
      <c r="F20" s="1556"/>
      <c r="G20" s="1556" t="s">
        <v>600</v>
      </c>
      <c r="H20" s="1556"/>
      <c r="I20" s="1769"/>
      <c r="J20" s="1781">
        <v>0</v>
      </c>
      <c r="K20" s="1781">
        <v>0</v>
      </c>
      <c r="L20" s="1781">
        <v>0</v>
      </c>
      <c r="M20" s="1781">
        <v>0</v>
      </c>
      <c r="N20" s="1781">
        <v>0</v>
      </c>
      <c r="O20" s="1781">
        <v>0</v>
      </c>
    </row>
    <row r="21" spans="3:15" x14ac:dyDescent="0.25">
      <c r="C21" s="429"/>
      <c r="D21" s="1769"/>
      <c r="E21" s="1772"/>
      <c r="F21" s="1556"/>
      <c r="G21" s="1556" t="s">
        <v>567</v>
      </c>
      <c r="H21" s="1556"/>
      <c r="I21" s="1769"/>
      <c r="J21" s="1781">
        <v>0</v>
      </c>
      <c r="K21" s="1781">
        <v>0</v>
      </c>
      <c r="L21" s="1781">
        <v>0</v>
      </c>
      <c r="M21" s="1781">
        <v>0</v>
      </c>
      <c r="N21" s="1781">
        <v>0</v>
      </c>
      <c r="O21" s="1781">
        <v>0</v>
      </c>
    </row>
    <row r="22" spans="3:15" x14ac:dyDescent="0.25">
      <c r="C22" s="429"/>
      <c r="D22" s="1769"/>
      <c r="E22" s="1772"/>
      <c r="F22" s="1556"/>
      <c r="G22" s="1556" t="s">
        <v>342</v>
      </c>
      <c r="H22" s="1556"/>
      <c r="I22" s="1769"/>
      <c r="J22" s="1781">
        <v>0</v>
      </c>
      <c r="K22" s="1781">
        <v>0</v>
      </c>
      <c r="L22" s="1781">
        <v>0</v>
      </c>
      <c r="M22" s="1781">
        <v>0</v>
      </c>
      <c r="N22" s="1781">
        <v>0</v>
      </c>
      <c r="O22" s="1781">
        <v>0</v>
      </c>
    </row>
    <row r="23" spans="3:15" x14ac:dyDescent="0.25">
      <c r="C23" s="429"/>
      <c r="D23" s="1769"/>
      <c r="E23" s="1772"/>
      <c r="F23" s="1773" t="s">
        <v>601</v>
      </c>
      <c r="G23" s="1556"/>
      <c r="H23" s="1556"/>
      <c r="I23" s="1769"/>
      <c r="J23" s="1784"/>
      <c r="K23" s="1784"/>
      <c r="L23" s="1784"/>
      <c r="M23" s="1784"/>
      <c r="N23" s="1784"/>
      <c r="O23" s="1784"/>
    </row>
    <row r="24" spans="3:15" x14ac:dyDescent="0.25">
      <c r="C24" s="429"/>
      <c r="D24" s="1769"/>
      <c r="E24" s="1772"/>
      <c r="F24" s="1556"/>
      <c r="G24" s="1556" t="s">
        <v>602</v>
      </c>
      <c r="H24" s="1556"/>
      <c r="I24" s="1769"/>
      <c r="J24" s="1781">
        <v>0</v>
      </c>
      <c r="K24" s="1781">
        <v>0</v>
      </c>
      <c r="L24" s="1781">
        <v>0</v>
      </c>
      <c r="M24" s="1781">
        <v>0</v>
      </c>
      <c r="N24" s="1781">
        <v>0</v>
      </c>
      <c r="O24" s="1781">
        <v>0</v>
      </c>
    </row>
    <row r="25" spans="3:15" x14ac:dyDescent="0.25">
      <c r="C25" s="429"/>
      <c r="D25" s="1769"/>
      <c r="E25" s="1772"/>
      <c r="F25" s="1556"/>
      <c r="G25" s="2031" t="s">
        <v>603</v>
      </c>
      <c r="H25" s="1556"/>
      <c r="I25" s="1769"/>
      <c r="J25" s="1782">
        <f t="shared" ref="J25:O25" si="1">J19+J20+J21+J22+J24</f>
        <v>0</v>
      </c>
      <c r="K25" s="1782">
        <f t="shared" si="1"/>
        <v>0</v>
      </c>
      <c r="L25" s="1782">
        <f t="shared" si="1"/>
        <v>0</v>
      </c>
      <c r="M25" s="1782">
        <f t="shared" si="1"/>
        <v>0</v>
      </c>
      <c r="N25" s="1782">
        <f t="shared" si="1"/>
        <v>0</v>
      </c>
      <c r="O25" s="1782">
        <f t="shared" si="1"/>
        <v>0</v>
      </c>
    </row>
    <row r="26" spans="3:15" x14ac:dyDescent="0.25">
      <c r="C26" s="429"/>
      <c r="D26" s="1769"/>
      <c r="E26" s="1772"/>
      <c r="F26" s="1775"/>
      <c r="G26" s="1770"/>
      <c r="H26" s="1770"/>
      <c r="I26" s="1771"/>
      <c r="J26" s="1783"/>
      <c r="K26" s="1783"/>
      <c r="L26" s="1783"/>
      <c r="M26" s="1783"/>
      <c r="N26" s="1783"/>
      <c r="O26" s="1783"/>
    </row>
    <row r="27" spans="3:15" x14ac:dyDescent="0.25">
      <c r="C27" s="429"/>
      <c r="D27" s="1769"/>
      <c r="E27" s="1772"/>
      <c r="F27" s="1773" t="s">
        <v>604</v>
      </c>
      <c r="G27" s="1556"/>
      <c r="H27" s="1556"/>
      <c r="I27" s="1769"/>
      <c r="J27" s="1784"/>
      <c r="K27" s="1784"/>
      <c r="L27" s="1784"/>
      <c r="M27" s="1784"/>
      <c r="N27" s="1784"/>
      <c r="O27" s="1784"/>
    </row>
    <row r="28" spans="3:15" x14ac:dyDescent="0.25">
      <c r="C28" s="429"/>
      <c r="D28" s="1769"/>
      <c r="E28" s="1772"/>
      <c r="F28" s="1556"/>
      <c r="G28" s="1556"/>
      <c r="H28" s="1556"/>
      <c r="I28" s="1769"/>
      <c r="J28" s="1784"/>
      <c r="K28" s="1784"/>
      <c r="L28" s="1784"/>
      <c r="M28" s="1784"/>
      <c r="N28" s="1784"/>
      <c r="O28" s="1784"/>
    </row>
    <row r="29" spans="3:15" x14ac:dyDescent="0.25">
      <c r="C29" s="429"/>
      <c r="D29" s="1769"/>
      <c r="E29" s="1772"/>
      <c r="F29" s="1773" t="s">
        <v>605</v>
      </c>
      <c r="G29" s="1556"/>
      <c r="H29" s="1556"/>
      <c r="I29" s="1769"/>
      <c r="J29" s="1784"/>
      <c r="K29" s="1784"/>
      <c r="L29" s="1784"/>
      <c r="M29" s="1784"/>
      <c r="N29" s="1784"/>
      <c r="O29" s="1784"/>
    </row>
    <row r="30" spans="3:15" x14ac:dyDescent="0.25">
      <c r="C30" s="429"/>
      <c r="D30" s="1769"/>
      <c r="E30" s="1772"/>
      <c r="F30" s="1556"/>
      <c r="G30" s="1556" t="s">
        <v>75</v>
      </c>
      <c r="H30" s="1556"/>
      <c r="I30" s="1769"/>
      <c r="J30" s="1781">
        <v>0</v>
      </c>
      <c r="K30" s="1781">
        <v>0</v>
      </c>
      <c r="L30" s="1781">
        <v>0</v>
      </c>
      <c r="M30" s="1781">
        <v>0</v>
      </c>
      <c r="N30" s="1781">
        <v>0</v>
      </c>
      <c r="O30" s="1781">
        <v>0</v>
      </c>
    </row>
    <row r="31" spans="3:15" x14ac:dyDescent="0.25">
      <c r="C31" s="429"/>
      <c r="D31" s="1769"/>
      <c r="E31" s="1772"/>
      <c r="F31" s="1556"/>
      <c r="G31" s="1556" t="s">
        <v>606</v>
      </c>
      <c r="H31" s="1556"/>
      <c r="I31" s="1769"/>
      <c r="J31" s="1781">
        <v>0</v>
      </c>
      <c r="K31" s="1781">
        <v>0</v>
      </c>
      <c r="L31" s="1781">
        <v>0</v>
      </c>
      <c r="M31" s="1781">
        <v>0</v>
      </c>
      <c r="N31" s="1781">
        <v>0</v>
      </c>
      <c r="O31" s="1781">
        <v>0</v>
      </c>
    </row>
    <row r="32" spans="3:15" x14ac:dyDescent="0.25">
      <c r="C32" s="429"/>
      <c r="D32" s="1769"/>
      <c r="E32" s="1772"/>
      <c r="F32" s="1556"/>
      <c r="G32" s="1556" t="s">
        <v>607</v>
      </c>
      <c r="H32" s="1556"/>
      <c r="I32" s="1769"/>
      <c r="J32" s="1782">
        <f t="shared" ref="J32:O32" si="2">J31+J30</f>
        <v>0</v>
      </c>
      <c r="K32" s="1782">
        <f t="shared" si="2"/>
        <v>0</v>
      </c>
      <c r="L32" s="1782">
        <f t="shared" si="2"/>
        <v>0</v>
      </c>
      <c r="M32" s="1782">
        <f t="shared" si="2"/>
        <v>0</v>
      </c>
      <c r="N32" s="1782">
        <f t="shared" si="2"/>
        <v>0</v>
      </c>
      <c r="O32" s="1782">
        <f t="shared" si="2"/>
        <v>0</v>
      </c>
    </row>
    <row r="33" spans="1:15" x14ac:dyDescent="0.25">
      <c r="C33" s="429"/>
      <c r="D33" s="1769"/>
      <c r="E33" s="1772"/>
      <c r="F33" s="1556"/>
      <c r="G33" s="1556"/>
      <c r="H33" s="1556"/>
      <c r="I33" s="1769"/>
      <c r="J33" s="1784"/>
      <c r="K33" s="1784"/>
      <c r="L33" s="1784"/>
      <c r="M33" s="1784"/>
      <c r="N33" s="1784"/>
      <c r="O33" s="1784"/>
    </row>
    <row r="34" spans="1:15" x14ac:dyDescent="0.25">
      <c r="C34" s="429"/>
      <c r="D34" s="1769"/>
      <c r="E34" s="1772"/>
      <c r="F34" s="1773" t="s">
        <v>608</v>
      </c>
      <c r="G34" s="1556"/>
      <c r="H34" s="1556"/>
      <c r="I34" s="1769"/>
      <c r="J34" s="1784"/>
      <c r="K34" s="1784"/>
      <c r="L34" s="1784"/>
      <c r="M34" s="1784"/>
      <c r="N34" s="1784"/>
      <c r="O34" s="1784"/>
    </row>
    <row r="35" spans="1:15" x14ac:dyDescent="0.25">
      <c r="C35" s="429"/>
      <c r="D35" s="1769"/>
      <c r="E35" s="1772"/>
      <c r="F35" s="1556"/>
      <c r="G35" s="1556" t="s">
        <v>609</v>
      </c>
      <c r="H35" s="1556"/>
      <c r="I35" s="1769"/>
      <c r="J35" s="1781">
        <v>0</v>
      </c>
      <c r="K35" s="1781">
        <v>0</v>
      </c>
      <c r="L35" s="1781">
        <v>0</v>
      </c>
      <c r="M35" s="1781">
        <v>0</v>
      </c>
      <c r="N35" s="1781">
        <v>0</v>
      </c>
      <c r="O35" s="1781">
        <v>0</v>
      </c>
    </row>
    <row r="36" spans="1:15" x14ac:dyDescent="0.25">
      <c r="C36" s="429"/>
      <c r="D36" s="1769"/>
      <c r="E36" s="1772"/>
      <c r="F36" s="1556"/>
      <c r="G36" s="1556" t="s">
        <v>610</v>
      </c>
      <c r="H36" s="1556"/>
      <c r="I36" s="1769"/>
      <c r="J36" s="1781">
        <v>0</v>
      </c>
      <c r="K36" s="1781">
        <v>0</v>
      </c>
      <c r="L36" s="1781">
        <v>0</v>
      </c>
      <c r="M36" s="1781">
        <v>0</v>
      </c>
      <c r="N36" s="1781">
        <v>0</v>
      </c>
      <c r="O36" s="1781">
        <v>0</v>
      </c>
    </row>
    <row r="37" spans="1:15" x14ac:dyDescent="0.25">
      <c r="C37" s="429"/>
      <c r="D37" s="1769"/>
      <c r="E37" s="1772"/>
      <c r="F37" s="1556"/>
      <c r="G37" s="1556"/>
      <c r="H37" s="1556"/>
      <c r="I37" s="1769"/>
      <c r="J37" s="1782">
        <f t="shared" ref="J37:O37" si="3">J36+J35</f>
        <v>0</v>
      </c>
      <c r="K37" s="1782">
        <f t="shared" si="3"/>
        <v>0</v>
      </c>
      <c r="L37" s="1782">
        <f t="shared" si="3"/>
        <v>0</v>
      </c>
      <c r="M37" s="1782">
        <f t="shared" si="3"/>
        <v>0</v>
      </c>
      <c r="N37" s="1782">
        <f t="shared" si="3"/>
        <v>0</v>
      </c>
      <c r="O37" s="1782">
        <f t="shared" si="3"/>
        <v>0</v>
      </c>
    </row>
    <row r="38" spans="1:15" x14ac:dyDescent="0.25">
      <c r="C38" s="429"/>
      <c r="D38" s="1769"/>
      <c r="E38" s="1772"/>
      <c r="F38" s="1779"/>
      <c r="G38" s="1779"/>
      <c r="H38" s="1779"/>
      <c r="I38" s="1769"/>
      <c r="J38" s="1784"/>
      <c r="K38" s="1784"/>
      <c r="L38" s="1784"/>
      <c r="M38" s="1784"/>
      <c r="N38" s="1784"/>
      <c r="O38" s="1784"/>
    </row>
    <row r="39" spans="1:15" x14ac:dyDescent="0.25">
      <c r="C39" s="429"/>
      <c r="D39" s="1769"/>
      <c r="E39" s="1772"/>
      <c r="F39" s="1773" t="s">
        <v>611</v>
      </c>
      <c r="G39" s="1556"/>
      <c r="H39" s="1556"/>
      <c r="I39" s="1769"/>
      <c r="J39" s="1781">
        <v>0</v>
      </c>
      <c r="K39" s="1781">
        <v>0</v>
      </c>
      <c r="L39" s="1781">
        <v>0</v>
      </c>
      <c r="M39" s="1781">
        <v>0</v>
      </c>
      <c r="N39" s="1781">
        <v>0</v>
      </c>
      <c r="O39" s="1781">
        <v>0</v>
      </c>
    </row>
    <row r="40" spans="1:15" x14ac:dyDescent="0.25">
      <c r="C40" s="429"/>
      <c r="D40" s="1769"/>
      <c r="E40" s="1772"/>
      <c r="F40" s="1556"/>
      <c r="G40" s="1556" t="s">
        <v>612</v>
      </c>
      <c r="H40" s="1556"/>
      <c r="I40" s="1769"/>
      <c r="J40" s="1781">
        <v>0</v>
      </c>
      <c r="K40" s="1781">
        <v>0</v>
      </c>
      <c r="L40" s="1781">
        <v>0</v>
      </c>
      <c r="M40" s="1781">
        <v>0</v>
      </c>
      <c r="N40" s="1781">
        <v>0</v>
      </c>
      <c r="O40" s="1781">
        <v>0</v>
      </c>
    </row>
    <row r="41" spans="1:15" x14ac:dyDescent="0.25">
      <c r="C41" s="429"/>
      <c r="D41" s="1769"/>
      <c r="E41" s="1772"/>
      <c r="F41" s="1556"/>
      <c r="G41" s="1556" t="s">
        <v>613</v>
      </c>
      <c r="H41" s="1556"/>
      <c r="I41" s="1769"/>
      <c r="J41" s="1781">
        <f t="shared" ref="J41:O41" si="4">J39*J40</f>
        <v>0</v>
      </c>
      <c r="K41" s="1781">
        <f t="shared" si="4"/>
        <v>0</v>
      </c>
      <c r="L41" s="1781">
        <f t="shared" si="4"/>
        <v>0</v>
      </c>
      <c r="M41" s="1781">
        <f t="shared" si="4"/>
        <v>0</v>
      </c>
      <c r="N41" s="1781">
        <f t="shared" si="4"/>
        <v>0</v>
      </c>
      <c r="O41" s="1781">
        <f t="shared" si="4"/>
        <v>0</v>
      </c>
    </row>
    <row r="42" spans="1:15" x14ac:dyDescent="0.25">
      <c r="C42" s="429"/>
      <c r="D42" s="1769"/>
      <c r="E42" s="1769"/>
      <c r="F42" s="2032" t="s">
        <v>132</v>
      </c>
      <c r="G42" s="1785"/>
      <c r="H42" s="1785"/>
      <c r="I42" s="1786"/>
      <c r="J42" s="1782">
        <f t="shared" ref="J42:O42" si="5">SUM(J39:J41)</f>
        <v>0</v>
      </c>
      <c r="K42" s="1782">
        <f t="shared" si="5"/>
        <v>0</v>
      </c>
      <c r="L42" s="1782">
        <f t="shared" si="5"/>
        <v>0</v>
      </c>
      <c r="M42" s="1782">
        <f t="shared" si="5"/>
        <v>0</v>
      </c>
      <c r="N42" s="1782">
        <f t="shared" si="5"/>
        <v>0</v>
      </c>
      <c r="O42" s="1782">
        <f t="shared" si="5"/>
        <v>0</v>
      </c>
    </row>
    <row r="43" spans="1:15" s="249" customFormat="1" ht="14.4" thickBot="1" x14ac:dyDescent="0.3">
      <c r="A43" s="214"/>
      <c r="B43" s="214"/>
      <c r="C43" s="429"/>
      <c r="D43" s="1769"/>
      <c r="E43" s="1769"/>
      <c r="F43" s="1556"/>
      <c r="G43" s="1779"/>
      <c r="H43" s="1779"/>
      <c r="I43" s="1779"/>
      <c r="J43" s="1556"/>
      <c r="K43" s="1556"/>
      <c r="L43" s="1556"/>
      <c r="M43" s="1556"/>
      <c r="N43" s="1787"/>
      <c r="O43" s="1556"/>
    </row>
    <row r="44" spans="1:15" s="249" customFormat="1" ht="16.5" customHeight="1" x14ac:dyDescent="0.25">
      <c r="A44" s="214"/>
      <c r="B44" s="214"/>
      <c r="C44" s="429"/>
      <c r="D44" s="1769"/>
      <c r="E44" s="1772"/>
      <c r="F44" s="974" t="s">
        <v>1133</v>
      </c>
      <c r="G44" s="1281"/>
      <c r="H44" s="1281"/>
      <c r="I44" s="1281"/>
      <c r="J44" s="1281"/>
      <c r="K44" s="1281"/>
      <c r="L44" s="1281"/>
      <c r="M44" s="1281"/>
      <c r="N44" s="1281"/>
      <c r="O44" s="1282"/>
    </row>
    <row r="45" spans="1:15" s="249" customFormat="1" x14ac:dyDescent="0.25">
      <c r="A45" s="214"/>
      <c r="B45" s="214"/>
      <c r="C45" s="429"/>
      <c r="D45" s="1769"/>
      <c r="E45" s="1769"/>
      <c r="F45" s="1283"/>
      <c r="G45" s="1284"/>
      <c r="H45" s="1284"/>
      <c r="I45" s="1284"/>
      <c r="J45" s="1284"/>
      <c r="K45" s="1284"/>
      <c r="L45" s="1284"/>
      <c r="M45" s="1284"/>
      <c r="N45" s="1284"/>
      <c r="O45" s="1285"/>
    </row>
    <row r="46" spans="1:15" s="249" customFormat="1" ht="16.5" customHeight="1" x14ac:dyDescent="0.25">
      <c r="A46" s="256" t="s">
        <v>690</v>
      </c>
      <c r="B46" s="256" t="s">
        <v>648</v>
      </c>
      <c r="C46" s="429"/>
      <c r="D46" s="1769"/>
      <c r="E46" s="1769"/>
      <c r="F46" s="1283" t="s">
        <v>1149</v>
      </c>
      <c r="G46" s="1284"/>
      <c r="H46" s="1284"/>
      <c r="I46" s="1284"/>
      <c r="J46" s="1284"/>
      <c r="K46" s="1284"/>
      <c r="L46" s="1284"/>
      <c r="M46" s="1284"/>
      <c r="N46" s="1284"/>
      <c r="O46" s="1285"/>
    </row>
    <row r="47" spans="1:15" s="249" customFormat="1" ht="124.5" customHeight="1" thickBot="1" x14ac:dyDescent="0.3">
      <c r="A47" s="214"/>
      <c r="B47" s="214"/>
      <c r="C47" s="429"/>
      <c r="D47" s="1769"/>
      <c r="E47" s="1769"/>
      <c r="F47" s="2224" t="s">
        <v>1312</v>
      </c>
      <c r="G47" s="2225"/>
      <c r="H47" s="2225"/>
      <c r="I47" s="2225"/>
      <c r="J47" s="2225"/>
      <c r="K47" s="2225"/>
      <c r="L47" s="2225"/>
      <c r="M47" s="2225"/>
      <c r="N47" s="2225"/>
      <c r="O47" s="2226"/>
    </row>
    <row r="48" spans="1:15" s="249" customFormat="1" ht="14.4" x14ac:dyDescent="0.25">
      <c r="A48" s="214"/>
      <c r="B48" s="214"/>
      <c r="C48" s="429"/>
      <c r="D48" s="429"/>
      <c r="E48" s="429"/>
      <c r="F48" s="430"/>
      <c r="G48" s="380"/>
      <c r="H48" s="380"/>
      <c r="I48" s="380"/>
      <c r="J48" s="43"/>
      <c r="K48" s="43"/>
      <c r="L48" s="43"/>
      <c r="M48" s="43"/>
      <c r="N48" s="43"/>
      <c r="O48" s="43"/>
    </row>
    <row r="49" spans="6:14" ht="14.4" x14ac:dyDescent="0.3">
      <c r="F49" s="220"/>
      <c r="M49" s="380"/>
      <c r="N49" s="380"/>
    </row>
    <row r="50" spans="6:14" ht="14.4" x14ac:dyDescent="0.25">
      <c r="F50" s="14"/>
    </row>
  </sheetData>
  <mergeCells count="4">
    <mergeCell ref="J7:K7"/>
    <mergeCell ref="L7:M7"/>
    <mergeCell ref="N7:O7"/>
    <mergeCell ref="F47:O47"/>
  </mergeCells>
  <phoneticPr fontId="33" type="noConversion"/>
  <pageMargins left="0.31496062992125984" right="0.31496062992125984" top="0.35433070866141736" bottom="0.35433070866141736" header="0.11811023622047245" footer="0.11811023622047245"/>
  <pageSetup paperSize="9" orientation="portrait" r:id="rId1"/>
  <headerFooter>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B305"/>
  <sheetViews>
    <sheetView showGridLines="0" view="pageBreakPreview" zoomScaleNormal="100" zoomScaleSheetLayoutView="100" workbookViewId="0"/>
  </sheetViews>
  <sheetFormatPr defaultColWidth="9" defaultRowHeight="14.4" x14ac:dyDescent="0.25"/>
  <cols>
    <col min="1" max="1" width="12.19921875" style="339" customWidth="1"/>
    <col min="2" max="2" width="7.3984375" style="473" customWidth="1"/>
    <col min="3" max="3" width="3.69921875" style="350" customWidth="1"/>
    <col min="4" max="4" width="3.69921875" style="475" customWidth="1"/>
    <col min="5" max="5" width="2.8984375" style="321" customWidth="1"/>
    <col min="6" max="6" width="31.69921875" style="331" customWidth="1"/>
    <col min="7" max="7" width="8" style="474" customWidth="1"/>
    <col min="8" max="8" width="1.19921875" style="474" customWidth="1"/>
    <col min="9" max="9" width="7.8984375" style="474" customWidth="1"/>
    <col min="10" max="10" width="1.69921875" style="474" bestFit="1" customWidth="1"/>
    <col min="11" max="11" width="7.8984375" style="332" customWidth="1"/>
    <col min="12" max="12" width="0.8984375" style="474" customWidth="1"/>
    <col min="13" max="13" width="7.8984375" style="474" customWidth="1"/>
    <col min="14" max="14" width="1.09765625" style="474" customWidth="1"/>
    <col min="15" max="15" width="7.8984375" style="474" customWidth="1"/>
    <col min="16" max="17" width="1.19921875" style="474" customWidth="1"/>
    <col min="18" max="18" width="1.69921875" style="474" customWidth="1"/>
    <col min="19" max="19" width="9" style="474"/>
    <col min="20" max="20" width="23.59765625" style="474" customWidth="1"/>
    <col min="21" max="22" width="9" style="474"/>
    <col min="23" max="23" width="9" style="474" customWidth="1"/>
    <col min="24" max="24" width="13" style="474" customWidth="1"/>
    <col min="25" max="16384" width="9" style="474"/>
  </cols>
  <sheetData>
    <row r="1" spans="1:19" ht="16.5" customHeight="1" x14ac:dyDescent="0.25">
      <c r="A1" s="146" t="s">
        <v>206</v>
      </c>
      <c r="C1" s="80" t="str">
        <f>IF('Merge Details_Printing instr'!$B$11="Insert details here",'Merge Details_Printing instr'!$A$11,'Merge Details_Printing instr'!$B$11)</f>
        <v>Council Name</v>
      </c>
      <c r="H1" s="758" t="s">
        <v>303</v>
      </c>
      <c r="I1" s="479"/>
      <c r="J1" s="479"/>
      <c r="K1" s="479"/>
      <c r="L1" s="479"/>
      <c r="M1" s="479"/>
      <c r="N1" s="479"/>
      <c r="O1" s="479"/>
      <c r="P1" s="479"/>
      <c r="Q1" s="479"/>
      <c r="R1" s="340"/>
      <c r="S1" s="1999" t="s">
        <v>1830</v>
      </c>
    </row>
    <row r="2" spans="1:19" s="476" customFormat="1" ht="16.5" customHeight="1" x14ac:dyDescent="0.25">
      <c r="A2" s="146" t="s">
        <v>696</v>
      </c>
      <c r="B2" s="366" t="s">
        <v>207</v>
      </c>
      <c r="C2" s="85" t="str">
        <f>+'Merge Details_Printing instr'!A12</f>
        <v>2023-2024 Financial Report</v>
      </c>
      <c r="D2" s="322"/>
      <c r="E2" s="323"/>
      <c r="F2" s="323"/>
      <c r="G2" s="323"/>
      <c r="H2" s="759" t="str">
        <f>+'Merge Details_Printing instr'!A14</f>
        <v>For the Year Ended 30 June 2024</v>
      </c>
      <c r="I2" s="480"/>
      <c r="J2" s="480"/>
      <c r="K2" s="480"/>
      <c r="L2" s="480"/>
      <c r="M2" s="480"/>
      <c r="N2" s="480"/>
      <c r="O2" s="480"/>
      <c r="P2" s="480"/>
      <c r="Q2" s="480"/>
      <c r="R2" s="340"/>
      <c r="S2" s="438" t="s">
        <v>1331</v>
      </c>
    </row>
    <row r="3" spans="1:19" s="476" customFormat="1" x14ac:dyDescent="0.25">
      <c r="A3" s="199"/>
      <c r="B3" s="73"/>
      <c r="C3" s="456"/>
      <c r="D3" s="455"/>
      <c r="E3" s="326"/>
      <c r="F3" s="327"/>
      <c r="K3" s="328"/>
      <c r="L3" s="329"/>
      <c r="M3" s="329"/>
      <c r="N3" s="474"/>
      <c r="O3" s="329"/>
      <c r="P3" s="329"/>
      <c r="Q3" s="329"/>
      <c r="R3" s="340"/>
      <c r="S3" s="438" t="s">
        <v>1332</v>
      </c>
    </row>
    <row r="4" spans="1:19" x14ac:dyDescent="0.25">
      <c r="A4" s="1788"/>
      <c r="B4" s="1789"/>
      <c r="C4" s="1790" t="s">
        <v>286</v>
      </c>
      <c r="D4" s="1517">
        <f>+'Note 10.5'!E4+0.1</f>
        <v>10.6</v>
      </c>
      <c r="E4" s="2467" t="s">
        <v>822</v>
      </c>
      <c r="F4" s="2467"/>
      <c r="G4" s="1584" t="s">
        <v>911</v>
      </c>
      <c r="H4" s="1496"/>
      <c r="I4" s="1500">
        <f>+'Merge Details_Printing instr'!A19</f>
        <v>2024</v>
      </c>
      <c r="J4" s="1501"/>
      <c r="K4" s="1500">
        <f>+I4-1</f>
        <v>2023</v>
      </c>
      <c r="L4" s="1501"/>
      <c r="M4" s="1500">
        <f>+K4-1</f>
        <v>2022</v>
      </c>
      <c r="N4" s="1502"/>
      <c r="O4" s="1500">
        <f>+M4-1</f>
        <v>2021</v>
      </c>
      <c r="P4" s="1500"/>
      <c r="Q4" s="1501"/>
      <c r="R4" s="2000"/>
      <c r="S4" s="1999" t="s">
        <v>1829</v>
      </c>
    </row>
    <row r="5" spans="1:19" x14ac:dyDescent="0.25">
      <c r="A5" s="1791"/>
      <c r="B5" s="1791"/>
      <c r="C5" s="1492"/>
      <c r="D5" s="1493"/>
      <c r="E5" s="1503"/>
      <c r="F5" s="1504"/>
      <c r="G5" s="1496"/>
      <c r="H5" s="1496"/>
      <c r="I5" s="1502" t="s">
        <v>60</v>
      </c>
      <c r="J5" s="1507"/>
      <c r="K5" s="1502" t="s">
        <v>60</v>
      </c>
      <c r="L5" s="1507"/>
      <c r="M5" s="1502" t="s">
        <v>60</v>
      </c>
      <c r="N5" s="1507"/>
      <c r="O5" s="1502" t="s">
        <v>60</v>
      </c>
      <c r="P5" s="1507"/>
      <c r="Q5" s="1507"/>
      <c r="R5" s="2000"/>
      <c r="S5" s="340"/>
    </row>
    <row r="6" spans="1:19" x14ac:dyDescent="0.25">
      <c r="A6" s="1791" t="s">
        <v>496</v>
      </c>
      <c r="B6" s="1791" t="s">
        <v>847</v>
      </c>
      <c r="C6" s="1492"/>
      <c r="D6" s="1493"/>
      <c r="E6" s="1512" t="s">
        <v>204</v>
      </c>
      <c r="F6" s="1516" t="s">
        <v>823</v>
      </c>
      <c r="G6" s="1496"/>
      <c r="H6" s="1496"/>
      <c r="I6" s="1496"/>
      <c r="J6" s="1505"/>
      <c r="K6" s="1497"/>
      <c r="L6" s="1496"/>
      <c r="M6" s="1493"/>
      <c r="N6" s="1493"/>
      <c r="O6" s="1496"/>
      <c r="P6" s="1496"/>
      <c r="Q6" s="1496"/>
      <c r="R6" s="340"/>
      <c r="S6" s="340"/>
    </row>
    <row r="7" spans="1:19" x14ac:dyDescent="0.25">
      <c r="A7" s="1791"/>
      <c r="B7" s="1791"/>
      <c r="C7" s="1492"/>
      <c r="D7" s="1493"/>
      <c r="E7" s="1512"/>
      <c r="F7" s="1504" t="s">
        <v>1181</v>
      </c>
      <c r="G7" s="1496"/>
      <c r="H7" s="1496"/>
      <c r="I7" s="1506">
        <v>0</v>
      </c>
      <c r="J7" s="1506"/>
      <c r="K7" s="1506">
        <v>0</v>
      </c>
      <c r="L7" s="1497"/>
      <c r="M7" s="1506">
        <v>0</v>
      </c>
      <c r="N7" s="1506"/>
      <c r="O7" s="1506">
        <v>0</v>
      </c>
      <c r="P7" s="1506"/>
      <c r="Q7" s="1497"/>
      <c r="R7" s="340"/>
      <c r="S7" s="340"/>
    </row>
    <row r="8" spans="1:19" ht="6" customHeight="1" x14ac:dyDescent="0.25">
      <c r="A8" s="1791"/>
      <c r="B8" s="1791"/>
      <c r="C8" s="1492"/>
      <c r="D8" s="1493"/>
      <c r="E8" s="1512"/>
      <c r="F8" s="1504"/>
      <c r="G8" s="1496"/>
      <c r="H8" s="1496"/>
      <c r="I8" s="1506"/>
      <c r="J8" s="1506"/>
      <c r="K8" s="1506"/>
      <c r="L8" s="1497"/>
      <c r="M8" s="1506"/>
      <c r="N8" s="1506"/>
      <c r="O8" s="1506"/>
      <c r="P8" s="1506"/>
      <c r="Q8" s="1497"/>
      <c r="R8" s="340"/>
      <c r="S8" s="340"/>
    </row>
    <row r="9" spans="1:19" x14ac:dyDescent="0.25">
      <c r="A9" s="1791"/>
      <c r="B9" s="1791"/>
      <c r="C9" s="1492"/>
      <c r="D9" s="1493"/>
      <c r="E9" s="1512"/>
      <c r="F9" s="1504" t="s">
        <v>1240</v>
      </c>
      <c r="G9" s="1496"/>
      <c r="H9" s="1496"/>
      <c r="I9" s="1506"/>
      <c r="J9" s="1506"/>
      <c r="K9" s="1506"/>
      <c r="L9" s="1497"/>
      <c r="M9" s="1506"/>
      <c r="N9" s="1506"/>
      <c r="O9" s="1506"/>
      <c r="P9" s="1506"/>
      <c r="Q9" s="1497"/>
      <c r="R9" s="340"/>
      <c r="S9" s="2001" t="s">
        <v>1838</v>
      </c>
    </row>
    <row r="10" spans="1:19" x14ac:dyDescent="0.25">
      <c r="A10" s="1791"/>
      <c r="B10" s="1791"/>
      <c r="C10" s="1492"/>
      <c r="D10" s="1493"/>
      <c r="E10" s="1512"/>
      <c r="F10" s="1968" t="s">
        <v>1832</v>
      </c>
      <c r="G10" s="1496"/>
      <c r="H10" s="1496"/>
      <c r="I10" s="1506">
        <v>0</v>
      </c>
      <c r="J10" s="1506"/>
      <c r="K10" s="1506">
        <v>0</v>
      </c>
      <c r="L10" s="1506"/>
      <c r="M10" s="1506">
        <v>0</v>
      </c>
      <c r="N10" s="1506"/>
      <c r="O10" s="1506">
        <v>0</v>
      </c>
      <c r="P10" s="1506"/>
      <c r="Q10" s="1497"/>
      <c r="R10" s="340"/>
      <c r="S10" s="340"/>
    </row>
    <row r="11" spans="1:19" x14ac:dyDescent="0.25">
      <c r="A11" s="1791"/>
      <c r="B11" s="1791"/>
      <c r="C11" s="1492"/>
      <c r="D11" s="1493"/>
      <c r="E11" s="1512"/>
      <c r="F11" s="1968" t="s">
        <v>1831</v>
      </c>
      <c r="G11" s="1496"/>
      <c r="H11" s="1496"/>
      <c r="I11" s="1506">
        <v>0</v>
      </c>
      <c r="J11" s="1506"/>
      <c r="K11" s="1506">
        <v>0</v>
      </c>
      <c r="L11" s="1506"/>
      <c r="M11" s="1506">
        <v>0</v>
      </c>
      <c r="N11" s="1506"/>
      <c r="O11" s="1506">
        <v>0</v>
      </c>
      <c r="P11" s="1506"/>
      <c r="Q11" s="1497"/>
      <c r="R11" s="340"/>
      <c r="S11" s="340"/>
    </row>
    <row r="12" spans="1:19" x14ac:dyDescent="0.25">
      <c r="A12" s="1791"/>
      <c r="B12" s="1791"/>
      <c r="C12" s="1492"/>
      <c r="D12" s="1493"/>
      <c r="E12" s="1512"/>
      <c r="F12" s="1968" t="s">
        <v>1834</v>
      </c>
      <c r="G12" s="1496"/>
      <c r="H12" s="1496"/>
      <c r="I12" s="1506">
        <v>0</v>
      </c>
      <c r="J12" s="1506"/>
      <c r="K12" s="1506">
        <v>0</v>
      </c>
      <c r="L12" s="1506"/>
      <c r="M12" s="1506">
        <v>0</v>
      </c>
      <c r="N12" s="1506"/>
      <c r="O12" s="1506">
        <v>0</v>
      </c>
      <c r="P12" s="1506"/>
      <c r="Q12" s="1497"/>
      <c r="R12" s="340"/>
      <c r="S12" s="340"/>
    </row>
    <row r="13" spans="1:19" x14ac:dyDescent="0.25">
      <c r="A13" s="1791"/>
      <c r="B13" s="1791"/>
      <c r="C13" s="1492"/>
      <c r="D13" s="1493"/>
      <c r="E13" s="1512"/>
      <c r="F13" s="1968" t="s">
        <v>1801</v>
      </c>
      <c r="G13" s="1496"/>
      <c r="H13" s="1496"/>
      <c r="I13" s="1506">
        <v>0</v>
      </c>
      <c r="J13" s="1506"/>
      <c r="K13" s="1506">
        <v>0</v>
      </c>
      <c r="L13" s="1506"/>
      <c r="M13" s="1506">
        <v>0</v>
      </c>
      <c r="N13" s="1506"/>
      <c r="O13" s="1506">
        <v>0</v>
      </c>
      <c r="P13" s="1506"/>
      <c r="Q13" s="1497"/>
      <c r="R13" s="340"/>
      <c r="S13" s="340"/>
    </row>
    <row r="14" spans="1:19" x14ac:dyDescent="0.25">
      <c r="A14" s="1791"/>
      <c r="B14" s="1791"/>
      <c r="C14" s="1492"/>
      <c r="D14" s="1493"/>
      <c r="E14" s="1512"/>
      <c r="F14" s="1968" t="s">
        <v>1802</v>
      </c>
      <c r="G14" s="1496"/>
      <c r="H14" s="1496"/>
      <c r="I14" s="1506">
        <v>0</v>
      </c>
      <c r="J14" s="1506"/>
      <c r="K14" s="1506">
        <v>0</v>
      </c>
      <c r="L14" s="1497"/>
      <c r="M14" s="1506">
        <v>0</v>
      </c>
      <c r="N14" s="1506"/>
      <c r="O14" s="1506">
        <v>0</v>
      </c>
      <c r="P14" s="1506"/>
      <c r="Q14" s="1497"/>
      <c r="R14" s="340"/>
      <c r="S14" s="438" t="s">
        <v>1836</v>
      </c>
    </row>
    <row r="15" spans="1:19" x14ac:dyDescent="0.25">
      <c r="A15" s="1791"/>
      <c r="B15" s="1791"/>
      <c r="C15" s="1492"/>
      <c r="D15" s="1493"/>
      <c r="E15" s="1512"/>
      <c r="F15" s="1968" t="s">
        <v>1833</v>
      </c>
      <c r="G15" s="1496"/>
      <c r="H15" s="1496"/>
      <c r="I15" s="1506">
        <v>0</v>
      </c>
      <c r="J15" s="1506"/>
      <c r="K15" s="1506">
        <v>0</v>
      </c>
      <c r="L15" s="1497"/>
      <c r="M15" s="1506">
        <v>0</v>
      </c>
      <c r="N15" s="1506"/>
      <c r="O15" s="1506">
        <v>0</v>
      </c>
      <c r="P15" s="1506"/>
      <c r="Q15" s="1497"/>
      <c r="R15" s="340"/>
      <c r="S15" s="438" t="s">
        <v>1837</v>
      </c>
    </row>
    <row r="16" spans="1:19" x14ac:dyDescent="0.25">
      <c r="A16" s="1791"/>
      <c r="B16" s="1791"/>
      <c r="C16" s="1492"/>
      <c r="D16" s="1493"/>
      <c r="E16" s="1512"/>
      <c r="F16" s="1968" t="s">
        <v>1835</v>
      </c>
      <c r="G16" s="1496"/>
      <c r="H16" s="1496"/>
      <c r="I16" s="1506">
        <v>0</v>
      </c>
      <c r="J16" s="1506"/>
      <c r="K16" s="1506">
        <v>0</v>
      </c>
      <c r="L16" s="1497"/>
      <c r="M16" s="1506">
        <v>0</v>
      </c>
      <c r="N16" s="1506"/>
      <c r="O16" s="1506">
        <v>0</v>
      </c>
      <c r="P16" s="1506"/>
      <c r="Q16" s="1497"/>
      <c r="R16" s="340"/>
      <c r="S16" s="340"/>
    </row>
    <row r="17" spans="1:28" x14ac:dyDescent="0.25">
      <c r="A17" s="1791"/>
      <c r="B17" s="1791"/>
      <c r="C17" s="1492"/>
      <c r="D17" s="1493"/>
      <c r="E17" s="1512"/>
      <c r="F17" s="1496"/>
      <c r="G17" s="1496"/>
      <c r="H17" s="1496"/>
      <c r="I17" s="1506">
        <v>0</v>
      </c>
      <c r="J17" s="1506"/>
      <c r="K17" s="1506">
        <v>0</v>
      </c>
      <c r="L17" s="1497"/>
      <c r="M17" s="1506">
        <v>0</v>
      </c>
      <c r="N17" s="1506"/>
      <c r="O17" s="1506">
        <v>0</v>
      </c>
      <c r="P17" s="1506"/>
      <c r="Q17" s="1497"/>
      <c r="R17" s="340"/>
      <c r="S17" s="340"/>
    </row>
    <row r="18" spans="1:28" ht="6" customHeight="1" x14ac:dyDescent="0.25">
      <c r="A18" s="1791"/>
      <c r="B18" s="1791"/>
      <c r="C18" s="1492"/>
      <c r="D18" s="1493"/>
      <c r="E18" s="1512"/>
      <c r="F18" s="1960"/>
      <c r="G18" s="1496"/>
      <c r="H18" s="1496"/>
      <c r="I18" s="1506"/>
      <c r="J18" s="1506"/>
      <c r="K18" s="1506"/>
      <c r="L18" s="1497"/>
      <c r="M18" s="1506"/>
      <c r="N18" s="1506"/>
      <c r="O18" s="1506"/>
      <c r="P18" s="1506"/>
      <c r="Q18" s="1497"/>
      <c r="R18" s="340"/>
      <c r="S18" s="340"/>
    </row>
    <row r="19" spans="1:28" x14ac:dyDescent="0.25">
      <c r="A19" s="1791"/>
      <c r="B19" s="1791"/>
      <c r="C19" s="1492"/>
      <c r="D19" s="1493"/>
      <c r="E19" s="1512"/>
      <c r="F19" s="1960" t="s">
        <v>1241</v>
      </c>
      <c r="G19" s="1496"/>
      <c r="H19" s="1496"/>
      <c r="I19" s="1506"/>
      <c r="J19" s="1506"/>
      <c r="K19" s="1506"/>
      <c r="L19" s="1497"/>
      <c r="M19" s="1506"/>
      <c r="N19" s="1506"/>
      <c r="O19" s="1506"/>
      <c r="P19" s="1506"/>
      <c r="Q19" s="1497"/>
      <c r="R19" s="340"/>
      <c r="S19" s="340"/>
    </row>
    <row r="20" spans="1:28" x14ac:dyDescent="0.25">
      <c r="A20" s="1791"/>
      <c r="B20" s="1791"/>
      <c r="C20" s="1492"/>
      <c r="D20" s="1493"/>
      <c r="E20" s="1512"/>
      <c r="F20" s="1968" t="s">
        <v>1803</v>
      </c>
      <c r="G20" s="1496"/>
      <c r="H20" s="1496"/>
      <c r="I20" s="1506">
        <v>0</v>
      </c>
      <c r="J20" s="1506"/>
      <c r="K20" s="1506">
        <v>0</v>
      </c>
      <c r="L20" s="1497"/>
      <c r="M20" s="1506">
        <v>0</v>
      </c>
      <c r="N20" s="1506"/>
      <c r="O20" s="1506">
        <v>0</v>
      </c>
      <c r="P20" s="1506"/>
      <c r="Q20" s="1497"/>
      <c r="R20" s="340"/>
      <c r="S20" s="340"/>
    </row>
    <row r="21" spans="1:28" x14ac:dyDescent="0.25">
      <c r="A21" s="1791"/>
      <c r="B21" s="1791"/>
      <c r="C21" s="1492"/>
      <c r="D21" s="1493"/>
      <c r="E21" s="1512"/>
      <c r="F21" s="1969" t="s">
        <v>1847</v>
      </c>
      <c r="G21" s="1496"/>
      <c r="H21" s="1496"/>
      <c r="I21" s="1506">
        <v>0</v>
      </c>
      <c r="J21" s="1506"/>
      <c r="K21" s="1506">
        <v>0</v>
      </c>
      <c r="L21" s="1497"/>
      <c r="M21" s="1506">
        <v>0</v>
      </c>
      <c r="N21" s="1506"/>
      <c r="O21" s="1506">
        <v>0</v>
      </c>
      <c r="P21" s="1506"/>
      <c r="Q21" s="1497"/>
      <c r="R21" s="340"/>
      <c r="S21" s="2001" t="s">
        <v>2068</v>
      </c>
    </row>
    <row r="22" spans="1:28" x14ac:dyDescent="0.25">
      <c r="A22" s="1791"/>
      <c r="B22" s="1791"/>
      <c r="C22" s="1492"/>
      <c r="D22" s="1493"/>
      <c r="E22" s="1512"/>
      <c r="F22" s="1968" t="s">
        <v>1804</v>
      </c>
      <c r="G22" s="1496"/>
      <c r="H22" s="1496"/>
      <c r="I22" s="1506">
        <v>0</v>
      </c>
      <c r="J22" s="1506"/>
      <c r="K22" s="1506">
        <v>0</v>
      </c>
      <c r="L22" s="1497"/>
      <c r="M22" s="1506">
        <v>0</v>
      </c>
      <c r="N22" s="1506"/>
      <c r="O22" s="1506">
        <v>0</v>
      </c>
      <c r="P22" s="1506"/>
      <c r="Q22" s="1497"/>
      <c r="R22" s="340"/>
      <c r="S22" s="340"/>
    </row>
    <row r="23" spans="1:28" x14ac:dyDescent="0.25">
      <c r="A23" s="1791"/>
      <c r="B23" s="1791"/>
      <c r="C23" s="1492"/>
      <c r="D23" s="1493"/>
      <c r="E23" s="1512"/>
      <c r="F23" s="1968" t="s">
        <v>1835</v>
      </c>
      <c r="G23" s="1496"/>
      <c r="H23" s="1496"/>
      <c r="I23" s="1506">
        <v>0</v>
      </c>
      <c r="J23" s="1506"/>
      <c r="K23" s="1506">
        <v>0</v>
      </c>
      <c r="L23" s="1497"/>
      <c r="M23" s="1506">
        <v>0</v>
      </c>
      <c r="N23" s="1506"/>
      <c r="O23" s="1506">
        <v>0</v>
      </c>
      <c r="P23" s="1506"/>
      <c r="Q23" s="1497"/>
    </row>
    <row r="24" spans="1:28" x14ac:dyDescent="0.25">
      <c r="A24" s="1791"/>
      <c r="B24" s="1791"/>
      <c r="C24" s="1492"/>
      <c r="D24" s="1492"/>
      <c r="E24" s="1512"/>
      <c r="F24" s="1504" t="s">
        <v>909</v>
      </c>
      <c r="G24" s="1792">
        <v>0</v>
      </c>
      <c r="H24" s="1496"/>
      <c r="I24" s="1793">
        <f>SUM(I7:I23)</f>
        <v>0</v>
      </c>
      <c r="J24" s="1506"/>
      <c r="K24" s="1793">
        <f>SUM(K7:K23)</f>
        <v>0</v>
      </c>
      <c r="L24" s="1497"/>
      <c r="M24" s="1793">
        <f>SUM(M7:M23)</f>
        <v>0</v>
      </c>
      <c r="N24" s="1506"/>
      <c r="O24" s="1793">
        <f>SUM(O7:O23)</f>
        <v>0</v>
      </c>
      <c r="P24" s="1506"/>
      <c r="Q24" s="1497"/>
    </row>
    <row r="25" spans="1:28" ht="7.5" customHeight="1" x14ac:dyDescent="0.25">
      <c r="A25" s="1791"/>
      <c r="B25" s="1791"/>
      <c r="C25" s="1492"/>
      <c r="D25" s="1492"/>
      <c r="E25" s="1512"/>
      <c r="F25" s="1504"/>
      <c r="G25" s="1496"/>
      <c r="H25" s="1496"/>
      <c r="I25" s="1496"/>
      <c r="J25" s="1505"/>
      <c r="K25" s="1496"/>
      <c r="L25" s="1496"/>
      <c r="M25" s="1496"/>
      <c r="N25" s="1493"/>
      <c r="O25" s="1496"/>
      <c r="P25" s="1496"/>
      <c r="Q25" s="1496"/>
    </row>
    <row r="26" spans="1:28" x14ac:dyDescent="0.25">
      <c r="A26" s="1791"/>
      <c r="B26" s="1791"/>
      <c r="C26" s="1492"/>
      <c r="D26" s="1492"/>
      <c r="E26" s="1512"/>
      <c r="F26" s="2317" t="s">
        <v>1242</v>
      </c>
      <c r="G26" s="2317"/>
      <c r="H26" s="2317"/>
      <c r="I26" s="2317"/>
      <c r="J26" s="2317"/>
      <c r="K26" s="2317"/>
      <c r="L26" s="2317"/>
      <c r="M26" s="2317"/>
      <c r="N26" s="2317"/>
      <c r="O26" s="2317"/>
      <c r="P26" s="1794"/>
      <c r="Q26" s="1794"/>
      <c r="S26" s="438" t="s">
        <v>1355</v>
      </c>
      <c r="T26" s="321"/>
      <c r="U26" s="321"/>
      <c r="V26" s="321"/>
      <c r="W26" s="321"/>
      <c r="X26" s="321"/>
      <c r="Y26" s="321"/>
      <c r="Z26" s="321"/>
      <c r="AA26" s="321"/>
      <c r="AB26" s="321"/>
    </row>
    <row r="27" spans="1:28" x14ac:dyDescent="0.25">
      <c r="A27" s="1791"/>
      <c r="B27" s="1791"/>
      <c r="C27" s="1492"/>
      <c r="D27" s="1492"/>
      <c r="E27" s="1512"/>
      <c r="F27" s="2377" t="s">
        <v>912</v>
      </c>
      <c r="G27" s="2377"/>
      <c r="H27" s="2377"/>
      <c r="I27" s="2377"/>
      <c r="J27" s="2377"/>
      <c r="K27" s="2377"/>
      <c r="L27" s="2377"/>
      <c r="M27" s="2377"/>
      <c r="N27" s="2377"/>
      <c r="O27" s="2377"/>
      <c r="P27" s="1504"/>
      <c r="Q27" s="1504"/>
    </row>
    <row r="28" spans="1:28" x14ac:dyDescent="0.25">
      <c r="A28" s="1791"/>
      <c r="B28" s="1791"/>
      <c r="C28" s="1492"/>
      <c r="D28" s="1493"/>
      <c r="E28" s="1515"/>
      <c r="F28" s="1495"/>
      <c r="G28" s="1496"/>
      <c r="H28" s="1496"/>
      <c r="I28" s="1507"/>
      <c r="J28" s="1505"/>
      <c r="K28" s="1507"/>
      <c r="L28" s="1496"/>
      <c r="M28" s="1507"/>
      <c r="N28" s="1493"/>
      <c r="O28" s="1507"/>
      <c r="P28" s="1507"/>
      <c r="Q28" s="1496"/>
    </row>
    <row r="29" spans="1:28" x14ac:dyDescent="0.25">
      <c r="A29" s="1791"/>
      <c r="B29" s="1791"/>
      <c r="C29" s="1492"/>
      <c r="D29" s="1493"/>
      <c r="E29" s="1515" t="s">
        <v>90</v>
      </c>
      <c r="F29" s="1516" t="s">
        <v>825</v>
      </c>
      <c r="G29" s="1508"/>
      <c r="H29" s="1508"/>
      <c r="I29" s="1507"/>
      <c r="J29" s="1508"/>
      <c r="K29" s="1508"/>
      <c r="L29" s="1508"/>
      <c r="M29" s="1508"/>
      <c r="N29" s="1508"/>
      <c r="O29" s="1508"/>
      <c r="P29" s="1508"/>
      <c r="Q29" s="1508"/>
    </row>
    <row r="30" spans="1:28" x14ac:dyDescent="0.25">
      <c r="A30" s="1791"/>
      <c r="B30" s="1791"/>
      <c r="C30" s="1492"/>
      <c r="D30" s="1493"/>
      <c r="E30" s="1515"/>
      <c r="F30" s="1795" t="s">
        <v>823</v>
      </c>
      <c r="G30" s="1496"/>
      <c r="H30" s="1496"/>
      <c r="I30" s="1796">
        <f>+I24</f>
        <v>0</v>
      </c>
      <c r="J30" s="2460"/>
      <c r="K30" s="1796">
        <f>+K24</f>
        <v>0</v>
      </c>
      <c r="L30" s="1497"/>
      <c r="M30" s="1796">
        <f>+M24</f>
        <v>0</v>
      </c>
      <c r="N30" s="2460" t="s">
        <v>824</v>
      </c>
      <c r="O30" s="1796">
        <f>+O24</f>
        <v>0</v>
      </c>
      <c r="P30" s="1797"/>
      <c r="Q30" s="1497"/>
    </row>
    <row r="31" spans="1:28" x14ac:dyDescent="0.25">
      <c r="A31" s="1791"/>
      <c r="B31" s="1791"/>
      <c r="C31" s="1492"/>
      <c r="D31" s="1493"/>
      <c r="E31" s="1515"/>
      <c r="F31" s="1504" t="s">
        <v>826</v>
      </c>
      <c r="G31" s="1496"/>
      <c r="H31" s="1496"/>
      <c r="I31" s="1518">
        <f>+I7</f>
        <v>0</v>
      </c>
      <c r="J31" s="2460"/>
      <c r="K31" s="1518">
        <f>+K7</f>
        <v>0</v>
      </c>
      <c r="L31" s="1496"/>
      <c r="M31" s="1518">
        <f>+M7</f>
        <v>0</v>
      </c>
      <c r="N31" s="2468"/>
      <c r="O31" s="1518">
        <f>+O7</f>
        <v>0</v>
      </c>
      <c r="P31" s="1797"/>
      <c r="Q31" s="1496"/>
    </row>
    <row r="32" spans="1:28" ht="5.25" customHeight="1" x14ac:dyDescent="0.25">
      <c r="A32" s="1791"/>
      <c r="B32" s="1791"/>
      <c r="C32" s="1492"/>
      <c r="D32" s="1493"/>
      <c r="E32" s="1515"/>
      <c r="F32" s="1504"/>
      <c r="G32" s="1496"/>
      <c r="H32" s="1496"/>
      <c r="I32" s="1518"/>
      <c r="J32" s="1798"/>
      <c r="K32" s="1518"/>
      <c r="L32" s="1496"/>
      <c r="M32" s="1518"/>
      <c r="N32" s="1799"/>
      <c r="O32" s="1518"/>
      <c r="P32" s="1797"/>
      <c r="Q32" s="1496"/>
    </row>
    <row r="33" spans="1:19" ht="16.5" customHeight="1" x14ac:dyDescent="0.25">
      <c r="A33" s="1791"/>
      <c r="B33" s="1791"/>
      <c r="C33" s="1492"/>
      <c r="D33" s="1493"/>
      <c r="E33" s="1515"/>
      <c r="F33" s="1504" t="s">
        <v>910</v>
      </c>
      <c r="G33" s="1800">
        <v>0</v>
      </c>
      <c r="H33" s="1496"/>
      <c r="I33" s="1801" t="e">
        <f>+I30/I31</f>
        <v>#DIV/0!</v>
      </c>
      <c r="J33" s="1798"/>
      <c r="K33" s="1801" t="e">
        <f>+K30/K31</f>
        <v>#DIV/0!</v>
      </c>
      <c r="L33" s="1496"/>
      <c r="M33" s="1801" t="e">
        <f>+M30/M31</f>
        <v>#DIV/0!</v>
      </c>
      <c r="N33" s="1799"/>
      <c r="O33" s="1801" t="e">
        <f>+O30/O31</f>
        <v>#DIV/0!</v>
      </c>
      <c r="P33" s="1797"/>
      <c r="Q33" s="1496"/>
    </row>
    <row r="34" spans="1:19" ht="7.5" customHeight="1" x14ac:dyDescent="0.25">
      <c r="A34" s="1791"/>
      <c r="B34" s="1791"/>
      <c r="C34" s="1492"/>
      <c r="D34" s="1493"/>
      <c r="E34" s="1515"/>
      <c r="F34" s="1504"/>
      <c r="G34" s="1504"/>
      <c r="H34" s="1504"/>
      <c r="I34" s="1801"/>
      <c r="J34" s="1496"/>
      <c r="K34" s="1801"/>
      <c r="L34" s="1496"/>
      <c r="M34" s="1801"/>
      <c r="N34" s="1505"/>
      <c r="O34" s="1801"/>
      <c r="P34" s="1496"/>
      <c r="Q34" s="1496"/>
    </row>
    <row r="35" spans="1:19" x14ac:dyDescent="0.25">
      <c r="A35" s="1791"/>
      <c r="B35" s="1791"/>
      <c r="C35" s="1492"/>
      <c r="D35" s="1493"/>
      <c r="E35" s="1515"/>
      <c r="F35" s="2317" t="s">
        <v>827</v>
      </c>
      <c r="G35" s="2317"/>
      <c r="H35" s="2317"/>
      <c r="I35" s="2317"/>
      <c r="J35" s="2317"/>
      <c r="K35" s="2317"/>
      <c r="L35" s="2317"/>
      <c r="M35" s="2317"/>
      <c r="N35" s="2317"/>
      <c r="O35" s="2317"/>
      <c r="P35" s="2317"/>
      <c r="Q35" s="2317"/>
      <c r="S35" s="438" t="s">
        <v>1355</v>
      </c>
    </row>
    <row r="36" spans="1:19" x14ac:dyDescent="0.25">
      <c r="A36" s="1791"/>
      <c r="B36" s="1791"/>
      <c r="C36" s="1492"/>
      <c r="D36" s="1493"/>
      <c r="E36" s="1512"/>
      <c r="F36" s="2377" t="s">
        <v>912</v>
      </c>
      <c r="G36" s="2377"/>
      <c r="H36" s="2377"/>
      <c r="I36" s="2377"/>
      <c r="J36" s="2377"/>
      <c r="K36" s="2377"/>
      <c r="L36" s="2377"/>
      <c r="M36" s="2377"/>
      <c r="N36" s="2377"/>
      <c r="O36" s="2377"/>
      <c r="P36" s="1504"/>
      <c r="Q36" s="1504"/>
    </row>
    <row r="37" spans="1:19" x14ac:dyDescent="0.25">
      <c r="A37" s="1791"/>
      <c r="B37" s="1791"/>
      <c r="C37" s="1492"/>
      <c r="D37" s="1493"/>
      <c r="E37" s="1515"/>
      <c r="F37" s="1504"/>
      <c r="G37" s="1496"/>
      <c r="H37" s="1496"/>
      <c r="I37" s="1507"/>
      <c r="J37" s="1507"/>
      <c r="K37" s="1507"/>
      <c r="L37" s="1507"/>
      <c r="M37" s="1507"/>
      <c r="N37" s="1507"/>
      <c r="O37" s="1507"/>
      <c r="P37" s="1507"/>
      <c r="Q37" s="1496"/>
    </row>
    <row r="38" spans="1:19" x14ac:dyDescent="0.25">
      <c r="A38" s="1791"/>
      <c r="B38" s="1791"/>
      <c r="C38" s="1492"/>
      <c r="D38" s="1493"/>
      <c r="E38" s="1515" t="s">
        <v>91</v>
      </c>
      <c r="F38" s="1516" t="s">
        <v>828</v>
      </c>
      <c r="G38" s="1508"/>
      <c r="H38" s="1508"/>
      <c r="I38" s="1508"/>
      <c r="J38" s="1508"/>
      <c r="K38" s="1508"/>
      <c r="L38" s="1508"/>
      <c r="M38" s="1508"/>
      <c r="N38" s="1508"/>
      <c r="O38" s="1508"/>
      <c r="P38" s="1508"/>
      <c r="Q38" s="1508"/>
    </row>
    <row r="39" spans="1:19" x14ac:dyDescent="0.25">
      <c r="A39" s="1791"/>
      <c r="B39" s="1791"/>
      <c r="C39" s="1492"/>
      <c r="D39" s="1493"/>
      <c r="E39" s="1515"/>
      <c r="F39" s="1504" t="s">
        <v>913</v>
      </c>
      <c r="G39" s="1496"/>
      <c r="H39" s="1496"/>
      <c r="I39" s="1506">
        <v>0</v>
      </c>
      <c r="J39" s="1506"/>
      <c r="K39" s="1506">
        <v>0</v>
      </c>
      <c r="L39" s="1497"/>
      <c r="M39" s="1506">
        <v>0</v>
      </c>
      <c r="N39" s="1506"/>
      <c r="O39" s="1506">
        <v>0</v>
      </c>
      <c r="P39" s="1506"/>
      <c r="Q39" s="1497"/>
    </row>
    <row r="40" spans="1:19" x14ac:dyDescent="0.25">
      <c r="A40" s="1791"/>
      <c r="B40" s="1791"/>
      <c r="C40" s="1492"/>
      <c r="D40" s="1493"/>
      <c r="E40" s="1515"/>
      <c r="F40" s="1504" t="s">
        <v>914</v>
      </c>
      <c r="G40" s="1496"/>
      <c r="H40" s="1496"/>
      <c r="I40" s="1506">
        <v>0</v>
      </c>
      <c r="J40" s="1506"/>
      <c r="K40" s="1506">
        <v>0</v>
      </c>
      <c r="L40" s="1497"/>
      <c r="M40" s="1506">
        <v>0</v>
      </c>
      <c r="N40" s="1506"/>
      <c r="O40" s="1506">
        <v>0</v>
      </c>
      <c r="P40" s="1506"/>
      <c r="Q40" s="1497"/>
    </row>
    <row r="41" spans="1:19" x14ac:dyDescent="0.25">
      <c r="A41" s="1791"/>
      <c r="B41" s="1791"/>
      <c r="C41" s="1492"/>
      <c r="D41" s="1493"/>
      <c r="E41" s="1512"/>
      <c r="F41" s="1504" t="s">
        <v>828</v>
      </c>
      <c r="G41" s="1802">
        <v>0</v>
      </c>
      <c r="H41" s="1496"/>
      <c r="I41" s="1793">
        <f>+I39-I40</f>
        <v>0</v>
      </c>
      <c r="J41" s="1506"/>
      <c r="K41" s="1793">
        <f>+K39-K40</f>
        <v>0</v>
      </c>
      <c r="L41" s="1497"/>
      <c r="M41" s="1793">
        <f>+M39-M40</f>
        <v>0</v>
      </c>
      <c r="N41" s="1506"/>
      <c r="O41" s="1793">
        <f>+O39-O40</f>
        <v>0</v>
      </c>
      <c r="P41" s="1506"/>
      <c r="Q41" s="1497"/>
    </row>
    <row r="42" spans="1:19" ht="7.5" customHeight="1" x14ac:dyDescent="0.25">
      <c r="A42" s="1791"/>
      <c r="B42" s="1791"/>
      <c r="C42" s="1492"/>
      <c r="D42" s="1493"/>
      <c r="E42" s="1515"/>
      <c r="F42" s="1504"/>
      <c r="G42" s="1496"/>
      <c r="H42" s="1496"/>
      <c r="I42" s="1505"/>
      <c r="J42" s="1496"/>
      <c r="K42" s="1497"/>
      <c r="L42" s="1496"/>
      <c r="M42" s="1505"/>
      <c r="N42" s="1505"/>
      <c r="O42" s="1497"/>
      <c r="P42" s="1497"/>
      <c r="Q42" s="1496"/>
    </row>
    <row r="43" spans="1:19" ht="35.25" customHeight="1" x14ac:dyDescent="0.25">
      <c r="A43" s="1791"/>
      <c r="B43" s="1791"/>
      <c r="C43" s="1492"/>
      <c r="D43" s="1493"/>
      <c r="E43" s="1515"/>
      <c r="F43" s="2317" t="s">
        <v>829</v>
      </c>
      <c r="G43" s="2317"/>
      <c r="H43" s="2317"/>
      <c r="I43" s="2317"/>
      <c r="J43" s="2317"/>
      <c r="K43" s="2317"/>
      <c r="L43" s="2317"/>
      <c r="M43" s="2317"/>
      <c r="N43" s="2317"/>
      <c r="O43" s="2317"/>
      <c r="P43" s="2317"/>
      <c r="Q43" s="2317"/>
      <c r="S43" s="438" t="s">
        <v>1355</v>
      </c>
    </row>
    <row r="44" spans="1:19" x14ac:dyDescent="0.25">
      <c r="A44" s="1791"/>
      <c r="B44" s="1791"/>
      <c r="C44" s="1492"/>
      <c r="D44" s="1493"/>
      <c r="E44" s="1512"/>
      <c r="F44" s="2377" t="s">
        <v>912</v>
      </c>
      <c r="G44" s="2377"/>
      <c r="H44" s="2377"/>
      <c r="I44" s="2377"/>
      <c r="J44" s="2377"/>
      <c r="K44" s="2377"/>
      <c r="L44" s="2377"/>
      <c r="M44" s="2377"/>
      <c r="N44" s="2377"/>
      <c r="O44" s="2377"/>
      <c r="P44" s="1504"/>
      <c r="Q44" s="1504"/>
    </row>
    <row r="45" spans="1:19" x14ac:dyDescent="0.25">
      <c r="A45" s="1791"/>
      <c r="B45" s="1791"/>
      <c r="C45" s="1492"/>
      <c r="D45" s="1493"/>
      <c r="E45" s="1515"/>
      <c r="F45" s="1504"/>
      <c r="G45" s="1496"/>
      <c r="H45" s="1496"/>
      <c r="I45" s="1507"/>
      <c r="J45" s="1505"/>
      <c r="K45" s="1507"/>
      <c r="L45" s="1496"/>
      <c r="M45" s="1507"/>
      <c r="N45" s="1493"/>
      <c r="O45" s="1507"/>
      <c r="P45" s="1507"/>
      <c r="Q45" s="1496"/>
    </row>
    <row r="46" spans="1:19" x14ac:dyDescent="0.25">
      <c r="A46" s="1791"/>
      <c r="B46" s="1791"/>
      <c r="C46" s="1492"/>
      <c r="D46" s="1493"/>
      <c r="E46" s="1515" t="s">
        <v>49</v>
      </c>
      <c r="F46" s="1516" t="s">
        <v>830</v>
      </c>
      <c r="G46" s="1792"/>
      <c r="H46" s="1792"/>
      <c r="I46" s="1496"/>
      <c r="J46" s="1505"/>
      <c r="K46" s="1497"/>
      <c r="L46" s="1496"/>
      <c r="M46" s="1493"/>
      <c r="N46" s="1505"/>
      <c r="O46" s="1496"/>
      <c r="P46" s="1496"/>
      <c r="Q46" s="1496"/>
    </row>
    <row r="47" spans="1:19" x14ac:dyDescent="0.25">
      <c r="A47" s="1791"/>
      <c r="B47" s="1791"/>
      <c r="C47" s="1492"/>
      <c r="D47" s="1493"/>
      <c r="E47" s="1515"/>
      <c r="F47" s="1803" t="s">
        <v>828</v>
      </c>
      <c r="G47" s="1496"/>
      <c r="H47" s="1496"/>
      <c r="I47" s="1804">
        <v>0</v>
      </c>
      <c r="J47" s="2460"/>
      <c r="K47" s="1804">
        <v>0</v>
      </c>
      <c r="L47" s="1497"/>
      <c r="M47" s="1804">
        <v>0</v>
      </c>
      <c r="N47" s="2460"/>
      <c r="O47" s="1804">
        <v>0</v>
      </c>
      <c r="P47" s="1797"/>
      <c r="Q47" s="1497"/>
    </row>
    <row r="48" spans="1:19" x14ac:dyDescent="0.25">
      <c r="A48" s="1791"/>
      <c r="B48" s="1791"/>
      <c r="C48" s="1492"/>
      <c r="D48" s="1493"/>
      <c r="E48" s="1515"/>
      <c r="F48" s="1805" t="s">
        <v>826</v>
      </c>
      <c r="G48" s="1496"/>
      <c r="H48" s="1496"/>
      <c r="I48" s="1806">
        <v>0</v>
      </c>
      <c r="J48" s="2460"/>
      <c r="K48" s="1806">
        <v>0</v>
      </c>
      <c r="L48" s="1496"/>
      <c r="M48" s="1806">
        <v>0</v>
      </c>
      <c r="N48" s="2460"/>
      <c r="O48" s="1806">
        <v>0</v>
      </c>
      <c r="P48" s="1797"/>
      <c r="Q48" s="1496"/>
    </row>
    <row r="49" spans="1:24" ht="5.25" customHeight="1" x14ac:dyDescent="0.25">
      <c r="A49" s="1791"/>
      <c r="B49" s="1791"/>
      <c r="C49" s="1492"/>
      <c r="D49" s="1493"/>
      <c r="E49" s="1515"/>
      <c r="F49" s="1504"/>
      <c r="G49" s="1496"/>
      <c r="H49" s="1496"/>
      <c r="I49" s="1518"/>
      <c r="J49" s="1798"/>
      <c r="K49" s="1518"/>
      <c r="L49" s="1496"/>
      <c r="M49" s="1518"/>
      <c r="N49" s="1799"/>
      <c r="O49" s="1518"/>
      <c r="P49" s="1797"/>
      <c r="Q49" s="1496"/>
    </row>
    <row r="50" spans="1:24" ht="16.5" customHeight="1" x14ac:dyDescent="0.25">
      <c r="A50" s="1791"/>
      <c r="B50" s="1791"/>
      <c r="C50" s="1492"/>
      <c r="D50" s="1493"/>
      <c r="E50" s="1515"/>
      <c r="F50" s="1504" t="s">
        <v>915</v>
      </c>
      <c r="G50" s="1807" t="s">
        <v>920</v>
      </c>
      <c r="H50" s="1496"/>
      <c r="I50" s="1801" t="e">
        <f>+I47/I48</f>
        <v>#DIV/0!</v>
      </c>
      <c r="J50" s="1798"/>
      <c r="K50" s="1801" t="e">
        <f>+K47/K48</f>
        <v>#DIV/0!</v>
      </c>
      <c r="L50" s="1496"/>
      <c r="M50" s="1801" t="e">
        <f>+M47/M48</f>
        <v>#DIV/0!</v>
      </c>
      <c r="N50" s="1799"/>
      <c r="O50" s="1801" t="e">
        <f>+O47/O48</f>
        <v>#DIV/0!</v>
      </c>
      <c r="P50" s="1797"/>
      <c r="Q50" s="1496"/>
    </row>
    <row r="51" spans="1:24" ht="7.5" customHeight="1" x14ac:dyDescent="0.25">
      <c r="A51" s="1791"/>
      <c r="B51" s="1791"/>
      <c r="C51" s="1492"/>
      <c r="D51" s="1493"/>
      <c r="E51" s="1515"/>
      <c r="F51" s="1808"/>
      <c r="G51" s="1496"/>
      <c r="H51" s="1496"/>
      <c r="I51" s="1801"/>
      <c r="J51" s="1496"/>
      <c r="K51" s="1801"/>
      <c r="L51" s="1496"/>
      <c r="M51" s="1801"/>
      <c r="N51" s="1505"/>
      <c r="O51" s="1801"/>
      <c r="P51" s="1496"/>
      <c r="Q51" s="1496"/>
    </row>
    <row r="52" spans="1:24" x14ac:dyDescent="0.25">
      <c r="A52" s="1791"/>
      <c r="B52" s="1791"/>
      <c r="C52" s="1492"/>
      <c r="D52" s="1493"/>
      <c r="E52" s="1809"/>
      <c r="F52" s="2315" t="s">
        <v>831</v>
      </c>
      <c r="G52" s="2315"/>
      <c r="H52" s="2315"/>
      <c r="I52" s="2315"/>
      <c r="J52" s="2315"/>
      <c r="K52" s="2315"/>
      <c r="L52" s="2315"/>
      <c r="M52" s="2315"/>
      <c r="N52" s="2315"/>
      <c r="O52" s="2315"/>
      <c r="P52" s="2315"/>
      <c r="Q52" s="2315"/>
      <c r="S52" s="438" t="s">
        <v>1355</v>
      </c>
    </row>
    <row r="53" spans="1:24" x14ac:dyDescent="0.25">
      <c r="A53" s="1791"/>
      <c r="B53" s="1791"/>
      <c r="C53" s="1492"/>
      <c r="D53" s="1493"/>
      <c r="E53" s="1512"/>
      <c r="F53" s="2377" t="s">
        <v>912</v>
      </c>
      <c r="G53" s="2377"/>
      <c r="H53" s="2377"/>
      <c r="I53" s="2377"/>
      <c r="J53" s="2377"/>
      <c r="K53" s="2377"/>
      <c r="L53" s="2377"/>
      <c r="M53" s="2377"/>
      <c r="N53" s="2377"/>
      <c r="O53" s="2377"/>
      <c r="P53" s="1504"/>
      <c r="Q53" s="1504"/>
    </row>
    <row r="54" spans="1:24" x14ac:dyDescent="0.25">
      <c r="A54" s="2466"/>
      <c r="B54" s="2466"/>
      <c r="C54" s="2466"/>
      <c r="D54" s="2466"/>
      <c r="E54" s="2466"/>
      <c r="F54" s="2466"/>
      <c r="G54" s="2466"/>
      <c r="H54" s="2466"/>
      <c r="I54" s="2466"/>
      <c r="J54" s="2466"/>
      <c r="K54" s="2466"/>
      <c r="L54" s="2466"/>
      <c r="M54" s="2466"/>
      <c r="N54" s="2466"/>
      <c r="O54" s="2466"/>
      <c r="P54" s="2466"/>
      <c r="Q54" s="2466"/>
      <c r="S54" s="340"/>
      <c r="T54" s="340"/>
      <c r="U54" s="340"/>
      <c r="V54" s="340"/>
      <c r="W54" s="340"/>
      <c r="X54" s="340"/>
    </row>
    <row r="55" spans="1:24" x14ac:dyDescent="0.25">
      <c r="A55" s="1791"/>
      <c r="B55" s="1791"/>
      <c r="C55" s="1492"/>
      <c r="D55" s="1493"/>
      <c r="E55" s="1515" t="s">
        <v>50</v>
      </c>
      <c r="F55" s="1516" t="s">
        <v>833</v>
      </c>
      <c r="G55" s="1496"/>
      <c r="H55" s="1496"/>
      <c r="I55" s="1496"/>
      <c r="J55" s="1505"/>
      <c r="K55" s="1497"/>
      <c r="L55" s="1496"/>
      <c r="M55" s="1493"/>
      <c r="N55" s="1505"/>
      <c r="O55" s="1496"/>
      <c r="P55" s="1496"/>
      <c r="Q55" s="1496"/>
      <c r="S55" s="340"/>
      <c r="T55" s="2002" t="s">
        <v>1615</v>
      </c>
      <c r="U55" s="340"/>
      <c r="V55" s="340"/>
      <c r="W55" s="340"/>
      <c r="X55" s="340"/>
    </row>
    <row r="56" spans="1:24" ht="39" customHeight="1" x14ac:dyDescent="0.25">
      <c r="A56" s="1791"/>
      <c r="B56" s="1791"/>
      <c r="C56" s="1492"/>
      <c r="D56" s="1493"/>
      <c r="E56" s="1515"/>
      <c r="F56" s="2458" t="s">
        <v>834</v>
      </c>
      <c r="G56" s="2458"/>
      <c r="H56" s="2458"/>
      <c r="I56" s="2458"/>
      <c r="J56" s="2458"/>
      <c r="K56" s="2458"/>
      <c r="L56" s="2458"/>
      <c r="M56" s="2458"/>
      <c r="N56" s="2458"/>
      <c r="O56" s="2458"/>
      <c r="P56" s="2458"/>
      <c r="Q56" s="2458"/>
      <c r="S56" s="340"/>
      <c r="T56" s="2459" t="s">
        <v>2039</v>
      </c>
      <c r="U56" s="2459"/>
      <c r="V56" s="2459"/>
      <c r="W56" s="2459"/>
      <c r="X56" s="2459"/>
    </row>
    <row r="57" spans="1:24" x14ac:dyDescent="0.25">
      <c r="A57" s="1791"/>
      <c r="B57" s="1791"/>
      <c r="C57" s="1492"/>
      <c r="D57" s="1493"/>
      <c r="E57" s="1494"/>
      <c r="F57" s="1521" t="s">
        <v>93</v>
      </c>
      <c r="G57" s="1496"/>
      <c r="H57" s="1496"/>
      <c r="I57" s="1496"/>
      <c r="J57" s="1505"/>
      <c r="K57" s="1497"/>
      <c r="L57" s="1496"/>
      <c r="M57" s="1493"/>
      <c r="N57" s="1505"/>
      <c r="O57" s="1496"/>
      <c r="P57" s="1496"/>
      <c r="Q57" s="1496"/>
      <c r="S57" s="340"/>
      <c r="T57" s="2459"/>
      <c r="U57" s="2459"/>
      <c r="V57" s="2459"/>
      <c r="W57" s="2459"/>
      <c r="X57" s="2459"/>
    </row>
    <row r="58" spans="1:24" x14ac:dyDescent="0.25">
      <c r="A58" s="1791"/>
      <c r="B58" s="1791"/>
      <c r="C58" s="1492"/>
      <c r="D58" s="1493"/>
      <c r="E58" s="1494"/>
      <c r="F58" s="1795" t="s">
        <v>1614</v>
      </c>
      <c r="G58" s="1496"/>
      <c r="H58" s="1496"/>
      <c r="I58" s="1796">
        <f>'Note 6'!I33</f>
        <v>82054</v>
      </c>
      <c r="J58" s="2460"/>
      <c r="K58" s="1796">
        <f>'Note 6'!K33</f>
        <v>73920</v>
      </c>
      <c r="L58" s="1497"/>
      <c r="M58" s="1796">
        <v>1</v>
      </c>
      <c r="N58" s="2460"/>
      <c r="O58" s="1796">
        <v>1</v>
      </c>
      <c r="P58" s="1797"/>
      <c r="Q58" s="1497"/>
      <c r="S58" s="340"/>
      <c r="T58" s="2459"/>
      <c r="U58" s="2459"/>
      <c r="V58" s="2459"/>
      <c r="W58" s="2459"/>
      <c r="X58" s="2459"/>
    </row>
    <row r="59" spans="1:24" x14ac:dyDescent="0.25">
      <c r="A59" s="1791"/>
      <c r="B59" s="1791"/>
      <c r="C59" s="1492"/>
      <c r="D59" s="1493"/>
      <c r="E59" s="1494"/>
      <c r="F59" s="1493" t="s">
        <v>1613</v>
      </c>
      <c r="G59" s="1496"/>
      <c r="H59" s="1496"/>
      <c r="I59" s="1810">
        <f>'Note 6'!I31</f>
        <v>134251</v>
      </c>
      <c r="J59" s="2460"/>
      <c r="K59" s="1810">
        <f>'Note 6'!K31</f>
        <v>123045</v>
      </c>
      <c r="L59" s="1496"/>
      <c r="M59" s="1810">
        <v>2</v>
      </c>
      <c r="N59" s="2460"/>
      <c r="O59" s="1811">
        <v>2</v>
      </c>
      <c r="P59" s="1797"/>
      <c r="Q59" s="1496"/>
      <c r="S59" s="340"/>
      <c r="T59" s="2459"/>
      <c r="U59" s="2459"/>
      <c r="V59" s="2459"/>
      <c r="W59" s="2459"/>
      <c r="X59" s="2459"/>
    </row>
    <row r="60" spans="1:24" ht="5.25" customHeight="1" x14ac:dyDescent="0.25">
      <c r="A60" s="1791"/>
      <c r="B60" s="1791"/>
      <c r="C60" s="1492"/>
      <c r="D60" s="1493"/>
      <c r="E60" s="1515"/>
      <c r="F60" s="1504"/>
      <c r="G60" s="1496"/>
      <c r="H60" s="1496"/>
      <c r="I60" s="1518"/>
      <c r="J60" s="2460"/>
      <c r="K60" s="1518"/>
      <c r="L60" s="1496"/>
      <c r="M60" s="1518"/>
      <c r="N60" s="1799"/>
      <c r="O60" s="1518"/>
      <c r="P60" s="1797"/>
      <c r="Q60" s="1496"/>
      <c r="S60" s="340"/>
      <c r="T60" s="2459"/>
      <c r="U60" s="2459"/>
      <c r="V60" s="2459"/>
      <c r="W60" s="2459"/>
      <c r="X60" s="2459"/>
    </row>
    <row r="61" spans="1:24" ht="16.5" customHeight="1" x14ac:dyDescent="0.25">
      <c r="A61" s="1791"/>
      <c r="B61" s="1791"/>
      <c r="C61" s="1492"/>
      <c r="D61" s="1493"/>
      <c r="E61" s="1515"/>
      <c r="F61" s="1504" t="s">
        <v>916</v>
      </c>
      <c r="G61" s="1496"/>
      <c r="H61" s="1496"/>
      <c r="I61" s="1801">
        <f t="shared" ref="I61" si="0">+I58/I59</f>
        <v>0.6111984268273607</v>
      </c>
      <c r="J61" s="2460"/>
      <c r="K61" s="1801">
        <f>+K58/K59</f>
        <v>0.60075582104108249</v>
      </c>
      <c r="L61" s="1496"/>
      <c r="M61" s="1801">
        <f>+M58/M59</f>
        <v>0.5</v>
      </c>
      <c r="N61" s="1799"/>
      <c r="O61" s="1801">
        <f>+O58/O59</f>
        <v>0.5</v>
      </c>
      <c r="P61" s="1797"/>
      <c r="Q61" s="1496"/>
      <c r="S61" s="340"/>
      <c r="T61" s="2459"/>
      <c r="U61" s="2459"/>
      <c r="V61" s="2459"/>
      <c r="W61" s="2459"/>
      <c r="X61" s="2459"/>
    </row>
    <row r="62" spans="1:24" ht="7.5" customHeight="1" x14ac:dyDescent="0.25">
      <c r="A62" s="1791"/>
      <c r="B62" s="1791"/>
      <c r="C62" s="1492"/>
      <c r="D62" s="1493"/>
      <c r="E62" s="1494"/>
      <c r="F62" s="1495"/>
      <c r="G62" s="1496"/>
      <c r="H62" s="1496"/>
      <c r="I62" s="1801"/>
      <c r="J62" s="1496"/>
      <c r="K62" s="1801"/>
      <c r="L62" s="1496"/>
      <c r="M62" s="1801"/>
      <c r="N62" s="1496"/>
      <c r="O62" s="1801"/>
      <c r="P62" s="1496"/>
      <c r="Q62" s="1496"/>
      <c r="S62" s="340"/>
      <c r="T62" s="2459"/>
      <c r="U62" s="2459"/>
      <c r="V62" s="2459"/>
      <c r="W62" s="2459"/>
      <c r="X62" s="2459"/>
    </row>
    <row r="63" spans="1:24" x14ac:dyDescent="0.25">
      <c r="A63" s="1791"/>
      <c r="B63" s="1791"/>
      <c r="C63" s="1492"/>
      <c r="D63" s="1493"/>
      <c r="E63" s="1494"/>
      <c r="F63" s="1521" t="s">
        <v>835</v>
      </c>
      <c r="G63" s="1496"/>
      <c r="H63" s="1496"/>
      <c r="I63" s="1496"/>
      <c r="J63" s="1505"/>
      <c r="K63" s="1497"/>
      <c r="L63" s="1496"/>
      <c r="M63" s="1493"/>
      <c r="N63" s="1505"/>
      <c r="O63" s="1496"/>
      <c r="P63" s="1496"/>
      <c r="Q63" s="1496"/>
      <c r="S63" s="340"/>
      <c r="T63" s="2459"/>
      <c r="U63" s="2459"/>
      <c r="V63" s="2459"/>
      <c r="W63" s="2459"/>
      <c r="X63" s="2459"/>
    </row>
    <row r="64" spans="1:24" x14ac:dyDescent="0.25">
      <c r="A64" s="1791"/>
      <c r="B64" s="1791"/>
      <c r="C64" s="1492"/>
      <c r="D64" s="1493"/>
      <c r="E64" s="1494"/>
      <c r="F64" s="1795" t="s">
        <v>1614</v>
      </c>
      <c r="G64" s="1496"/>
      <c r="H64" s="1496"/>
      <c r="I64" s="1796">
        <v>1</v>
      </c>
      <c r="J64" s="2460"/>
      <c r="K64" s="1796">
        <v>1</v>
      </c>
      <c r="L64" s="1497"/>
      <c r="M64" s="1796">
        <v>1</v>
      </c>
      <c r="N64" s="2460"/>
      <c r="O64" s="1796">
        <v>1</v>
      </c>
      <c r="P64" s="1797"/>
      <c r="Q64" s="1497"/>
      <c r="S64" s="340"/>
      <c r="T64" s="2459"/>
      <c r="U64" s="2459"/>
      <c r="V64" s="2459"/>
      <c r="W64" s="2459"/>
      <c r="X64" s="2459"/>
    </row>
    <row r="65" spans="1:25" x14ac:dyDescent="0.25">
      <c r="A65" s="1791"/>
      <c r="B65" s="1791"/>
      <c r="C65" s="1492"/>
      <c r="D65" s="1493"/>
      <c r="E65" s="1494"/>
      <c r="F65" s="1493" t="s">
        <v>1613</v>
      </c>
      <c r="G65" s="1496"/>
      <c r="H65" s="1496"/>
      <c r="I65" s="1810">
        <v>2</v>
      </c>
      <c r="J65" s="2460"/>
      <c r="K65" s="1810">
        <v>2</v>
      </c>
      <c r="L65" s="1496"/>
      <c r="M65" s="1810">
        <v>2</v>
      </c>
      <c r="N65" s="2460"/>
      <c r="O65" s="1811">
        <v>2</v>
      </c>
      <c r="P65" s="1797"/>
      <c r="Q65" s="1496"/>
      <c r="S65" s="340"/>
      <c r="T65" s="2459"/>
      <c r="U65" s="2459"/>
      <c r="V65" s="2459"/>
      <c r="W65" s="2459"/>
      <c r="X65" s="2459"/>
    </row>
    <row r="66" spans="1:25" ht="5.25" customHeight="1" x14ac:dyDescent="0.25">
      <c r="A66" s="1791"/>
      <c r="B66" s="1791"/>
      <c r="C66" s="1492"/>
      <c r="D66" s="1493"/>
      <c r="E66" s="1515"/>
      <c r="F66" s="1504"/>
      <c r="G66" s="1496"/>
      <c r="H66" s="1496"/>
      <c r="I66" s="1518"/>
      <c r="J66" s="1798"/>
      <c r="K66" s="1497"/>
      <c r="L66" s="1496"/>
      <c r="M66" s="1518"/>
      <c r="N66" s="1799"/>
      <c r="O66" s="1518"/>
      <c r="P66" s="1797"/>
      <c r="Q66" s="1496"/>
      <c r="S66" s="340"/>
      <c r="T66" s="2459"/>
      <c r="U66" s="2459"/>
      <c r="V66" s="2459"/>
      <c r="W66" s="2459"/>
      <c r="X66" s="2459"/>
    </row>
    <row r="67" spans="1:25" ht="16.5" customHeight="1" x14ac:dyDescent="0.25">
      <c r="A67" s="1791"/>
      <c r="B67" s="1791"/>
      <c r="C67" s="1492"/>
      <c r="D67" s="1493"/>
      <c r="E67" s="1515"/>
      <c r="F67" s="1504" t="s">
        <v>916</v>
      </c>
      <c r="G67" s="1496"/>
      <c r="H67" s="1496"/>
      <c r="I67" s="1801">
        <f>+I64/I65</f>
        <v>0.5</v>
      </c>
      <c r="J67" s="1798"/>
      <c r="K67" s="1801">
        <f>+K64/K65</f>
        <v>0.5</v>
      </c>
      <c r="L67" s="1496"/>
      <c r="M67" s="1801">
        <f>+M64/M65</f>
        <v>0.5</v>
      </c>
      <c r="N67" s="1799"/>
      <c r="O67" s="1801">
        <f>+O64/O65</f>
        <v>0.5</v>
      </c>
      <c r="P67" s="1797"/>
      <c r="Q67" s="1496"/>
      <c r="S67" s="340"/>
      <c r="T67" s="2459"/>
      <c r="U67" s="2459"/>
      <c r="V67" s="2459"/>
      <c r="W67" s="2459"/>
      <c r="X67" s="2459"/>
    </row>
    <row r="68" spans="1:25" x14ac:dyDescent="0.25">
      <c r="A68" s="1791"/>
      <c r="B68" s="1791"/>
      <c r="C68" s="1492"/>
      <c r="D68" s="1493"/>
      <c r="E68" s="1494"/>
      <c r="F68" s="1504"/>
      <c r="G68" s="1496"/>
      <c r="H68" s="1496"/>
      <c r="I68" s="1801"/>
      <c r="J68" s="1496"/>
      <c r="K68" s="1801"/>
      <c r="L68" s="1496"/>
      <c r="M68" s="1801"/>
      <c r="N68" s="1496"/>
      <c r="O68" s="1801"/>
      <c r="P68" s="1496"/>
      <c r="Q68" s="1496"/>
      <c r="S68" s="340"/>
      <c r="T68" s="2459"/>
      <c r="U68" s="2459"/>
      <c r="V68" s="2459"/>
      <c r="W68" s="2459"/>
      <c r="X68" s="2459"/>
    </row>
    <row r="69" spans="1:25" x14ac:dyDescent="0.25">
      <c r="A69" s="1791"/>
      <c r="B69" s="1791"/>
      <c r="C69" s="1492"/>
      <c r="D69" s="1493"/>
      <c r="E69" s="1494"/>
      <c r="F69" s="1504"/>
      <c r="G69" s="1496"/>
      <c r="H69" s="1496"/>
      <c r="I69" s="1801"/>
      <c r="J69" s="1496"/>
      <c r="K69" s="1801"/>
      <c r="L69" s="1496"/>
      <c r="M69" s="1801"/>
      <c r="N69" s="1496"/>
      <c r="O69" s="1801"/>
      <c r="P69" s="1496"/>
      <c r="Q69" s="1496"/>
      <c r="S69" s="340"/>
      <c r="T69" s="2003"/>
      <c r="U69" s="2003"/>
      <c r="V69" s="2003"/>
      <c r="W69" s="2003"/>
      <c r="X69" s="2003"/>
    </row>
    <row r="70" spans="1:25" x14ac:dyDescent="0.25">
      <c r="A70" s="1791"/>
      <c r="B70" s="1791"/>
      <c r="C70" s="2033" t="s">
        <v>286</v>
      </c>
      <c r="D70" s="2034">
        <f>+$D$4</f>
        <v>10.6</v>
      </c>
      <c r="E70" s="2035" t="s">
        <v>832</v>
      </c>
      <c r="F70" s="1995"/>
      <c r="G70" s="1496"/>
      <c r="H70" s="1496"/>
      <c r="I70" s="1500">
        <f>I4</f>
        <v>2024</v>
      </c>
      <c r="J70" s="1500"/>
      <c r="K70" s="1500">
        <f>K4</f>
        <v>2023</v>
      </c>
      <c r="L70" s="1500"/>
      <c r="M70" s="1500">
        <f>M4</f>
        <v>2022</v>
      </c>
      <c r="N70" s="1500"/>
      <c r="O70" s="1500">
        <f>O4</f>
        <v>2021</v>
      </c>
      <c r="P70" s="1496"/>
      <c r="Q70" s="1496"/>
      <c r="S70" s="348" t="s">
        <v>2054</v>
      </c>
      <c r="T70" s="2003"/>
      <c r="U70" s="2003"/>
      <c r="V70" s="2003"/>
      <c r="W70" s="2003"/>
      <c r="X70" s="2003"/>
    </row>
    <row r="71" spans="1:25" x14ac:dyDescent="0.25">
      <c r="A71" s="1791"/>
      <c r="B71" s="1791"/>
      <c r="C71" s="1492"/>
      <c r="D71" s="1493"/>
      <c r="E71" s="1494"/>
      <c r="F71" s="1504"/>
      <c r="G71" s="1496"/>
      <c r="H71" s="1496"/>
      <c r="I71" s="1500" t="s">
        <v>60</v>
      </c>
      <c r="J71" s="1507"/>
      <c r="K71" s="1500" t="s">
        <v>60</v>
      </c>
      <c r="L71" s="1507"/>
      <c r="M71" s="1500" t="s">
        <v>60</v>
      </c>
      <c r="N71" s="1507"/>
      <c r="O71" s="1500" t="s">
        <v>60</v>
      </c>
      <c r="P71" s="1496"/>
      <c r="Q71" s="1496"/>
      <c r="S71" s="340"/>
      <c r="T71" s="2003"/>
      <c r="U71" s="2003"/>
      <c r="V71" s="2003"/>
      <c r="W71" s="2003"/>
      <c r="X71" s="2003"/>
    </row>
    <row r="72" spans="1:25" x14ac:dyDescent="0.25">
      <c r="A72" s="1791"/>
      <c r="B72" s="1791"/>
      <c r="C72" s="1492"/>
      <c r="D72" s="1493"/>
      <c r="E72" s="1494"/>
      <c r="F72" s="1521" t="s">
        <v>348</v>
      </c>
      <c r="G72" s="1496"/>
      <c r="H72" s="1496"/>
      <c r="I72" s="1496"/>
      <c r="J72" s="1505"/>
      <c r="K72" s="1497"/>
      <c r="L72" s="1496"/>
      <c r="M72" s="1493"/>
      <c r="N72" s="1505"/>
      <c r="O72" s="1496"/>
      <c r="P72" s="1496"/>
      <c r="Q72" s="1496"/>
      <c r="S72" s="340"/>
      <c r="T72" s="2003"/>
      <c r="U72" s="2003"/>
      <c r="V72" s="2003"/>
      <c r="W72" s="2003"/>
      <c r="X72" s="2003"/>
    </row>
    <row r="73" spans="1:25" x14ac:dyDescent="0.25">
      <c r="A73" s="1791"/>
      <c r="B73" s="1791"/>
      <c r="C73" s="1492"/>
      <c r="D73" s="1493"/>
      <c r="E73" s="1494"/>
      <c r="F73" s="1795" t="s">
        <v>1614</v>
      </c>
      <c r="G73" s="1496"/>
      <c r="H73" s="1496"/>
      <c r="I73" s="1796">
        <v>1</v>
      </c>
      <c r="J73" s="2460"/>
      <c r="K73" s="1796">
        <v>1</v>
      </c>
      <c r="L73" s="1497"/>
      <c r="M73" s="1796">
        <v>1</v>
      </c>
      <c r="N73" s="2460"/>
      <c r="O73" s="1796">
        <v>1</v>
      </c>
      <c r="P73" s="1797"/>
      <c r="Q73" s="1497"/>
      <c r="S73" s="340"/>
      <c r="T73" s="340"/>
      <c r="U73" s="2004"/>
      <c r="V73" s="340"/>
      <c r="W73" s="340"/>
      <c r="X73" s="340"/>
    </row>
    <row r="74" spans="1:25" x14ac:dyDescent="0.25">
      <c r="A74" s="1791"/>
      <c r="B74" s="1791"/>
      <c r="C74" s="1492"/>
      <c r="D74" s="1493"/>
      <c r="E74" s="1494"/>
      <c r="F74" s="1493" t="s">
        <v>1613</v>
      </c>
      <c r="G74" s="1496"/>
      <c r="H74" s="1496"/>
      <c r="I74" s="1810">
        <v>2</v>
      </c>
      <c r="J74" s="2460"/>
      <c r="K74" s="1810">
        <v>2</v>
      </c>
      <c r="L74" s="1496"/>
      <c r="M74" s="1810">
        <v>2</v>
      </c>
      <c r="N74" s="2460"/>
      <c r="O74" s="1811">
        <v>2</v>
      </c>
      <c r="P74" s="1797"/>
      <c r="Q74" s="1496"/>
      <c r="S74" s="340"/>
      <c r="T74" s="340"/>
      <c r="U74" s="340"/>
      <c r="V74" s="340"/>
      <c r="W74" s="340"/>
      <c r="X74" s="340"/>
    </row>
    <row r="75" spans="1:25" ht="5.25" customHeight="1" x14ac:dyDescent="0.25">
      <c r="A75" s="1791"/>
      <c r="B75" s="1791"/>
      <c r="C75" s="1492"/>
      <c r="D75" s="1493"/>
      <c r="E75" s="1515"/>
      <c r="F75" s="1504"/>
      <c r="G75" s="1496"/>
      <c r="H75" s="1496"/>
      <c r="I75" s="1518"/>
      <c r="J75" s="1798"/>
      <c r="K75" s="1518"/>
      <c r="L75" s="1496"/>
      <c r="M75" s="1518"/>
      <c r="N75" s="1799"/>
      <c r="O75" s="1518"/>
      <c r="P75" s="1797"/>
      <c r="Q75" s="1496"/>
      <c r="S75" s="340"/>
      <c r="T75" s="340"/>
      <c r="U75" s="340"/>
      <c r="V75" s="340"/>
      <c r="W75" s="340"/>
      <c r="X75" s="340"/>
    </row>
    <row r="76" spans="1:25" ht="16.5" customHeight="1" x14ac:dyDescent="0.25">
      <c r="A76" s="1791"/>
      <c r="B76" s="1791"/>
      <c r="C76" s="1492"/>
      <c r="D76" s="1493"/>
      <c r="E76" s="1515"/>
      <c r="F76" s="1504" t="s">
        <v>916</v>
      </c>
      <c r="G76" s="1496"/>
      <c r="H76" s="1496"/>
      <c r="I76" s="1801">
        <f>+I73/I74</f>
        <v>0.5</v>
      </c>
      <c r="J76" s="1798"/>
      <c r="K76" s="1801">
        <f>+K73/K74</f>
        <v>0.5</v>
      </c>
      <c r="L76" s="1496"/>
      <c r="M76" s="1801">
        <f>+M73/M74</f>
        <v>0.5</v>
      </c>
      <c r="N76" s="1799"/>
      <c r="O76" s="1801">
        <f>+O73/O74</f>
        <v>0.5</v>
      </c>
      <c r="P76" s="1797"/>
      <c r="Q76" s="1496"/>
      <c r="S76" s="340"/>
      <c r="T76" s="340"/>
      <c r="U76" s="340"/>
      <c r="V76" s="340"/>
      <c r="W76" s="340"/>
      <c r="X76" s="340"/>
    </row>
    <row r="77" spans="1:25" ht="12" customHeight="1" x14ac:dyDescent="0.25">
      <c r="A77" s="1791"/>
      <c r="B77" s="1791"/>
      <c r="C77" s="1492"/>
      <c r="D77" s="1493"/>
      <c r="E77" s="1494"/>
      <c r="F77" s="1504"/>
      <c r="G77" s="1496"/>
      <c r="H77" s="1496"/>
      <c r="I77" s="1801"/>
      <c r="J77" s="1496"/>
      <c r="K77" s="1801"/>
      <c r="L77" s="1496"/>
      <c r="M77" s="1801"/>
      <c r="N77" s="1496"/>
      <c r="O77" s="1801"/>
      <c r="P77" s="1496"/>
      <c r="Q77" s="1496"/>
      <c r="S77" s="438" t="s">
        <v>1355</v>
      </c>
      <c r="T77" s="340"/>
      <c r="U77" s="340"/>
      <c r="V77" s="340"/>
      <c r="W77" s="340"/>
      <c r="X77" s="340"/>
      <c r="Y77" s="580"/>
    </row>
    <row r="78" spans="1:25" ht="15" thickBot="1" x14ac:dyDescent="0.3">
      <c r="A78" s="1791"/>
      <c r="B78" s="1791"/>
      <c r="C78" s="1492"/>
      <c r="D78" s="1493"/>
      <c r="E78" s="1494"/>
      <c r="F78" s="2458" t="s">
        <v>836</v>
      </c>
      <c r="G78" s="2458"/>
      <c r="H78" s="2458"/>
      <c r="I78" s="2458"/>
      <c r="J78" s="2458"/>
      <c r="K78" s="2458"/>
      <c r="L78" s="2458"/>
      <c r="M78" s="2458"/>
      <c r="N78" s="2458"/>
      <c r="O78" s="2458"/>
      <c r="P78" s="2458"/>
      <c r="Q78" s="2458"/>
      <c r="S78" s="438" t="s">
        <v>1356</v>
      </c>
      <c r="T78" s="340"/>
      <c r="U78" s="340"/>
      <c r="V78" s="340"/>
      <c r="W78" s="340"/>
      <c r="X78" s="340"/>
      <c r="Y78" s="580"/>
    </row>
    <row r="79" spans="1:25" ht="15" thickBot="1" x14ac:dyDescent="0.3">
      <c r="A79" s="1791"/>
      <c r="B79" s="1791"/>
      <c r="C79" s="1492"/>
      <c r="D79" s="1493"/>
      <c r="E79" s="1512"/>
      <c r="F79" s="2462" t="s">
        <v>1758</v>
      </c>
      <c r="G79" s="2463"/>
      <c r="H79" s="2463"/>
      <c r="I79" s="2463"/>
      <c r="J79" s="2463"/>
      <c r="K79" s="2463"/>
      <c r="L79" s="2463"/>
      <c r="M79" s="2463"/>
      <c r="N79" s="2463"/>
      <c r="O79" s="2464"/>
      <c r="P79" s="1504"/>
      <c r="Q79" s="1504"/>
      <c r="S79" s="438" t="s">
        <v>1353</v>
      </c>
      <c r="T79" s="340"/>
      <c r="U79" s="340"/>
      <c r="V79" s="340"/>
      <c r="W79" s="340"/>
      <c r="X79" s="340"/>
      <c r="Y79" s="580"/>
    </row>
    <row r="80" spans="1:25" x14ac:dyDescent="0.25">
      <c r="A80" s="1791"/>
      <c r="B80" s="1791"/>
      <c r="C80" s="1492"/>
      <c r="D80" s="1493"/>
      <c r="E80" s="1494"/>
      <c r="F80" s="1504"/>
      <c r="G80" s="1496"/>
      <c r="H80" s="1496"/>
      <c r="I80" s="1496"/>
      <c r="J80" s="1496"/>
      <c r="K80" s="1497"/>
      <c r="L80" s="1496"/>
      <c r="M80" s="1496"/>
      <c r="N80" s="1496"/>
      <c r="O80" s="1496"/>
      <c r="P80" s="1496"/>
      <c r="Q80" s="1496"/>
      <c r="S80" s="438" t="s">
        <v>1354</v>
      </c>
      <c r="T80" s="340"/>
      <c r="U80" s="340"/>
      <c r="V80" s="340"/>
      <c r="W80" s="340"/>
      <c r="X80" s="340"/>
      <c r="Y80" s="580"/>
    </row>
    <row r="81" spans="1:17" x14ac:dyDescent="0.25">
      <c r="A81" s="1791"/>
      <c r="B81" s="1791"/>
      <c r="C81" s="1492"/>
      <c r="D81" s="1493"/>
      <c r="E81" s="1515" t="s">
        <v>325</v>
      </c>
      <c r="F81" s="1516" t="s">
        <v>837</v>
      </c>
      <c r="G81" s="1496"/>
      <c r="H81" s="1496"/>
      <c r="I81" s="1496"/>
      <c r="J81" s="1496"/>
      <c r="K81" s="1497"/>
      <c r="L81" s="1496"/>
      <c r="M81" s="1496"/>
      <c r="N81" s="1496"/>
      <c r="O81" s="1496"/>
      <c r="P81" s="1496"/>
      <c r="Q81" s="1496"/>
    </row>
    <row r="82" spans="1:17" ht="5.25" customHeight="1" x14ac:dyDescent="0.25">
      <c r="A82" s="1791"/>
      <c r="B82" s="1791"/>
      <c r="C82" s="1492"/>
      <c r="D82" s="1493"/>
      <c r="E82" s="1494"/>
      <c r="F82" s="1504"/>
      <c r="G82" s="1496"/>
      <c r="H82" s="1496"/>
      <c r="I82" s="1496"/>
      <c r="J82" s="1496"/>
      <c r="K82" s="1497"/>
      <c r="L82" s="1496"/>
      <c r="M82" s="1496"/>
      <c r="N82" s="1496"/>
      <c r="O82" s="1496"/>
      <c r="P82" s="1496"/>
      <c r="Q82" s="1496"/>
    </row>
    <row r="83" spans="1:17" ht="35.25" customHeight="1" x14ac:dyDescent="0.25">
      <c r="A83" s="1791"/>
      <c r="B83" s="1791"/>
      <c r="C83" s="1492"/>
      <c r="D83" s="1493"/>
      <c r="E83" s="1494"/>
      <c r="F83" s="2465" t="s">
        <v>852</v>
      </c>
      <c r="G83" s="2465"/>
      <c r="H83" s="2465"/>
      <c r="I83" s="2465"/>
      <c r="J83" s="2465"/>
      <c r="K83" s="2465"/>
      <c r="L83" s="2465"/>
      <c r="M83" s="2465"/>
      <c r="N83" s="2465"/>
      <c r="O83" s="2465"/>
      <c r="P83" s="2465"/>
      <c r="Q83" s="2465"/>
    </row>
    <row r="84" spans="1:17" x14ac:dyDescent="0.25">
      <c r="A84" s="1791"/>
      <c r="B84" s="1791"/>
      <c r="C84" s="1492"/>
      <c r="D84" s="1493"/>
      <c r="E84" s="1494"/>
      <c r="F84" s="1521" t="s">
        <v>93</v>
      </c>
      <c r="G84" s="1496"/>
      <c r="H84" s="1496"/>
      <c r="I84" s="1496"/>
      <c r="J84" s="1505"/>
      <c r="K84" s="1497"/>
      <c r="L84" s="1496"/>
      <c r="M84" s="1493"/>
      <c r="N84" s="1505"/>
      <c r="O84" s="1496"/>
      <c r="P84" s="1496"/>
      <c r="Q84" s="1496"/>
    </row>
    <row r="85" spans="1:17" x14ac:dyDescent="0.25">
      <c r="A85" s="1791"/>
      <c r="B85" s="1791"/>
      <c r="C85" s="1492"/>
      <c r="D85" s="1493"/>
      <c r="E85" s="1494"/>
      <c r="F85" s="1795" t="s">
        <v>838</v>
      </c>
      <c r="G85" s="1496"/>
      <c r="H85" s="1496"/>
      <c r="I85" s="1796">
        <v>0</v>
      </c>
      <c r="J85" s="2460"/>
      <c r="K85" s="1796">
        <v>0</v>
      </c>
      <c r="L85" s="1497"/>
      <c r="M85" s="1796">
        <v>0</v>
      </c>
      <c r="N85" s="2460"/>
      <c r="O85" s="1796">
        <v>0</v>
      </c>
      <c r="P85" s="1797"/>
      <c r="Q85" s="1496"/>
    </row>
    <row r="86" spans="1:17" x14ac:dyDescent="0.25">
      <c r="A86" s="1791"/>
      <c r="B86" s="1791"/>
      <c r="C86" s="1492"/>
      <c r="D86" s="1493"/>
      <c r="E86" s="1494"/>
      <c r="F86" s="1812" t="s">
        <v>839</v>
      </c>
      <c r="G86" s="1496"/>
      <c r="H86" s="1496"/>
      <c r="I86" s="1811">
        <v>0</v>
      </c>
      <c r="J86" s="2460"/>
      <c r="K86" s="1811">
        <v>0</v>
      </c>
      <c r="L86" s="1496"/>
      <c r="M86" s="1811">
        <v>0</v>
      </c>
      <c r="N86" s="2460"/>
      <c r="O86" s="1811">
        <v>0</v>
      </c>
      <c r="P86" s="1797"/>
      <c r="Q86" s="1496"/>
    </row>
    <row r="87" spans="1:17" ht="5.25" customHeight="1" x14ac:dyDescent="0.25">
      <c r="A87" s="1791"/>
      <c r="B87" s="1791"/>
      <c r="C87" s="1492"/>
      <c r="D87" s="1493"/>
      <c r="E87" s="1515"/>
      <c r="F87" s="1504"/>
      <c r="G87" s="1496"/>
      <c r="H87" s="1496"/>
      <c r="I87" s="1518"/>
      <c r="J87" s="1798"/>
      <c r="K87" s="1518"/>
      <c r="L87" s="1496"/>
      <c r="M87" s="1518"/>
      <c r="N87" s="1799"/>
      <c r="O87" s="1518"/>
      <c r="P87" s="1797"/>
      <c r="Q87" s="1496"/>
    </row>
    <row r="88" spans="1:17" ht="16.5" customHeight="1" x14ac:dyDescent="0.25">
      <c r="A88" s="1791"/>
      <c r="B88" s="1791"/>
      <c r="C88" s="1492"/>
      <c r="D88" s="1493"/>
      <c r="E88" s="1515"/>
      <c r="F88" s="1504" t="s">
        <v>917</v>
      </c>
      <c r="G88" s="1807" t="s">
        <v>919</v>
      </c>
      <c r="H88" s="1496"/>
      <c r="I88" s="1801" t="e">
        <f>+I85/I86</f>
        <v>#DIV/0!</v>
      </c>
      <c r="J88" s="1798"/>
      <c r="K88" s="1801" t="e">
        <f>+K85/K86</f>
        <v>#DIV/0!</v>
      </c>
      <c r="L88" s="1496"/>
      <c r="M88" s="1801" t="e">
        <f>+M85/M86</f>
        <v>#DIV/0!</v>
      </c>
      <c r="N88" s="1799"/>
      <c r="O88" s="1801" t="e">
        <f>+O85/O86</f>
        <v>#DIV/0!</v>
      </c>
      <c r="P88" s="1797"/>
      <c r="Q88" s="1496"/>
    </row>
    <row r="89" spans="1:17" ht="9" customHeight="1" x14ac:dyDescent="0.25">
      <c r="A89" s="1791"/>
      <c r="B89" s="1791"/>
      <c r="C89" s="1492"/>
      <c r="D89" s="1493"/>
      <c r="E89" s="1494"/>
      <c r="F89" s="1504"/>
      <c r="G89" s="1496"/>
      <c r="H89" s="1496"/>
      <c r="I89" s="1801"/>
      <c r="J89" s="1496"/>
      <c r="K89" s="1801"/>
      <c r="L89" s="1496"/>
      <c r="M89" s="1801"/>
      <c r="N89" s="1496"/>
      <c r="O89" s="1801"/>
      <c r="P89" s="1496"/>
      <c r="Q89" s="1496"/>
    </row>
    <row r="90" spans="1:17" x14ac:dyDescent="0.25">
      <c r="A90" s="1791"/>
      <c r="B90" s="1791"/>
      <c r="C90" s="1492"/>
      <c r="D90" s="1493"/>
      <c r="E90" s="1494"/>
      <c r="F90" s="1521" t="s">
        <v>835</v>
      </c>
      <c r="G90" s="1496"/>
      <c r="H90" s="1496"/>
      <c r="I90" s="1496"/>
      <c r="J90" s="1505"/>
      <c r="K90" s="1497"/>
      <c r="L90" s="1496"/>
      <c r="M90" s="1493"/>
      <c r="N90" s="1505"/>
      <c r="O90" s="1496"/>
      <c r="P90" s="1496"/>
      <c r="Q90" s="1496"/>
    </row>
    <row r="91" spans="1:17" x14ac:dyDescent="0.25">
      <c r="A91" s="1791"/>
      <c r="B91" s="1791"/>
      <c r="C91" s="1492"/>
      <c r="D91" s="1493"/>
      <c r="E91" s="1494"/>
      <c r="F91" s="1795" t="s">
        <v>838</v>
      </c>
      <c r="G91" s="1496"/>
      <c r="H91" s="1496"/>
      <c r="I91" s="1796">
        <v>0</v>
      </c>
      <c r="J91" s="2460"/>
      <c r="K91" s="1796">
        <v>0</v>
      </c>
      <c r="L91" s="1497"/>
      <c r="M91" s="1796">
        <v>0</v>
      </c>
      <c r="N91" s="2460"/>
      <c r="O91" s="1796">
        <v>0</v>
      </c>
      <c r="P91" s="1797"/>
      <c r="Q91" s="1496"/>
    </row>
    <row r="92" spans="1:17" x14ac:dyDescent="0.25">
      <c r="A92" s="1791"/>
      <c r="B92" s="1791"/>
      <c r="C92" s="1492"/>
      <c r="D92" s="1493"/>
      <c r="E92" s="1494"/>
      <c r="F92" s="1812" t="s">
        <v>839</v>
      </c>
      <c r="G92" s="1496"/>
      <c r="H92" s="1496"/>
      <c r="I92" s="1811">
        <v>0</v>
      </c>
      <c r="J92" s="2460"/>
      <c r="K92" s="1811">
        <v>0</v>
      </c>
      <c r="L92" s="1496"/>
      <c r="M92" s="1811">
        <v>0</v>
      </c>
      <c r="N92" s="2460"/>
      <c r="O92" s="1811">
        <v>0</v>
      </c>
      <c r="P92" s="1797"/>
      <c r="Q92" s="1496"/>
    </row>
    <row r="93" spans="1:17" ht="5.25" customHeight="1" x14ac:dyDescent="0.25">
      <c r="A93" s="1791"/>
      <c r="B93" s="1791"/>
      <c r="C93" s="1492"/>
      <c r="D93" s="1493"/>
      <c r="E93" s="1515"/>
      <c r="F93" s="1504"/>
      <c r="G93" s="1496"/>
      <c r="H93" s="1496"/>
      <c r="I93" s="1518"/>
      <c r="J93" s="1798"/>
      <c r="K93" s="1518"/>
      <c r="L93" s="1496"/>
      <c r="M93" s="1518"/>
      <c r="N93" s="1799"/>
      <c r="O93" s="1518"/>
      <c r="P93" s="1797"/>
      <c r="Q93" s="1496"/>
    </row>
    <row r="94" spans="1:17" ht="16.5" customHeight="1" x14ac:dyDescent="0.25">
      <c r="A94" s="1791"/>
      <c r="B94" s="1791"/>
      <c r="C94" s="1492"/>
      <c r="D94" s="1493"/>
      <c r="E94" s="1515"/>
      <c r="F94" s="1504" t="s">
        <v>917</v>
      </c>
      <c r="G94" s="1807" t="s">
        <v>919</v>
      </c>
      <c r="H94" s="1496"/>
      <c r="I94" s="1801" t="e">
        <f>+I91/I92</f>
        <v>#DIV/0!</v>
      </c>
      <c r="J94" s="1798"/>
      <c r="K94" s="1801" t="e">
        <f>+K91/K92</f>
        <v>#DIV/0!</v>
      </c>
      <c r="L94" s="1496"/>
      <c r="M94" s="1801" t="e">
        <f>+M91/M92</f>
        <v>#DIV/0!</v>
      </c>
      <c r="N94" s="1799"/>
      <c r="O94" s="1801" t="e">
        <f>+O91/O92</f>
        <v>#DIV/0!</v>
      </c>
      <c r="P94" s="1797"/>
      <c r="Q94" s="1496"/>
    </row>
    <row r="95" spans="1:17" ht="9" customHeight="1" x14ac:dyDescent="0.25">
      <c r="A95" s="1791"/>
      <c r="B95" s="1791"/>
      <c r="C95" s="1492"/>
      <c r="D95" s="1493"/>
      <c r="E95" s="1494"/>
      <c r="F95" s="1504"/>
      <c r="G95" s="1496"/>
      <c r="H95" s="1496"/>
      <c r="I95" s="1801"/>
      <c r="J95" s="1496"/>
      <c r="K95" s="1801"/>
      <c r="L95" s="1496"/>
      <c r="M95" s="1801"/>
      <c r="N95" s="1496"/>
      <c r="O95" s="1801"/>
      <c r="P95" s="1496"/>
      <c r="Q95" s="1496"/>
    </row>
    <row r="96" spans="1:17" x14ac:dyDescent="0.25">
      <c r="A96" s="1791"/>
      <c r="B96" s="1791"/>
      <c r="C96" s="1492"/>
      <c r="D96" s="1493"/>
      <c r="E96" s="1494"/>
      <c r="F96" s="1521" t="s">
        <v>348</v>
      </c>
      <c r="G96" s="1496"/>
      <c r="H96" s="1496"/>
      <c r="I96" s="1496"/>
      <c r="J96" s="1505"/>
      <c r="K96" s="1497"/>
      <c r="L96" s="1496"/>
      <c r="M96" s="1493"/>
      <c r="N96" s="1505"/>
      <c r="O96" s="1496"/>
      <c r="P96" s="1496"/>
      <c r="Q96" s="1496"/>
    </row>
    <row r="97" spans="1:28" x14ac:dyDescent="0.25">
      <c r="A97" s="1791"/>
      <c r="B97" s="1791"/>
      <c r="C97" s="1492"/>
      <c r="D97" s="1493"/>
      <c r="E97" s="1494"/>
      <c r="F97" s="1795" t="s">
        <v>838</v>
      </c>
      <c r="G97" s="1496"/>
      <c r="H97" s="1496"/>
      <c r="I97" s="1796">
        <v>0</v>
      </c>
      <c r="J97" s="2460"/>
      <c r="K97" s="1796">
        <v>0</v>
      </c>
      <c r="L97" s="1497"/>
      <c r="M97" s="1796">
        <v>0</v>
      </c>
      <c r="N97" s="2460"/>
      <c r="O97" s="1796">
        <v>0</v>
      </c>
      <c r="P97" s="1797"/>
      <c r="Q97" s="1496"/>
      <c r="S97" s="340"/>
    </row>
    <row r="98" spans="1:28" x14ac:dyDescent="0.25">
      <c r="A98" s="1791"/>
      <c r="B98" s="1791"/>
      <c r="C98" s="1492"/>
      <c r="D98" s="1493"/>
      <c r="E98" s="1494"/>
      <c r="F98" s="1812" t="s">
        <v>839</v>
      </c>
      <c r="G98" s="1496"/>
      <c r="H98" s="1496"/>
      <c r="I98" s="1811">
        <v>0</v>
      </c>
      <c r="J98" s="2460"/>
      <c r="K98" s="1811">
        <v>0</v>
      </c>
      <c r="L98" s="1496"/>
      <c r="M98" s="1811">
        <v>0</v>
      </c>
      <c r="N98" s="2460"/>
      <c r="O98" s="1811">
        <v>0</v>
      </c>
      <c r="P98" s="1797"/>
      <c r="Q98" s="1496"/>
      <c r="S98" s="340"/>
    </row>
    <row r="99" spans="1:28" ht="5.25" customHeight="1" x14ac:dyDescent="0.25">
      <c r="A99" s="1791"/>
      <c r="B99" s="1791"/>
      <c r="C99" s="1492"/>
      <c r="D99" s="1493"/>
      <c r="E99" s="1515"/>
      <c r="F99" s="1504"/>
      <c r="G99" s="1496"/>
      <c r="H99" s="1496"/>
      <c r="I99" s="1518"/>
      <c r="J99" s="1798"/>
      <c r="K99" s="1518"/>
      <c r="L99" s="1496"/>
      <c r="M99" s="1518"/>
      <c r="N99" s="1799"/>
      <c r="O99" s="1518"/>
      <c r="P99" s="1797"/>
      <c r="Q99" s="1496"/>
      <c r="S99" s="340"/>
    </row>
    <row r="100" spans="1:28" ht="16.5" customHeight="1" x14ac:dyDescent="0.25">
      <c r="A100" s="1791"/>
      <c r="B100" s="1791"/>
      <c r="C100" s="1492"/>
      <c r="D100" s="1493"/>
      <c r="E100" s="1515"/>
      <c r="F100" s="1504" t="s">
        <v>917</v>
      </c>
      <c r="G100" s="1807" t="s">
        <v>919</v>
      </c>
      <c r="H100" s="1496"/>
      <c r="I100" s="1801" t="e">
        <f>+I97/I98</f>
        <v>#DIV/0!</v>
      </c>
      <c r="J100" s="1798"/>
      <c r="K100" s="1801" t="e">
        <f>+K97/K98</f>
        <v>#DIV/0!</v>
      </c>
      <c r="L100" s="1496"/>
      <c r="M100" s="1801" t="e">
        <f>+M97/M98</f>
        <v>#DIV/0!</v>
      </c>
      <c r="N100" s="1799"/>
      <c r="O100" s="1801" t="e">
        <f>+O97/O98</f>
        <v>#DIV/0!</v>
      </c>
      <c r="P100" s="1797"/>
      <c r="Q100" s="1496"/>
      <c r="S100" s="340"/>
    </row>
    <row r="101" spans="1:28" ht="9" customHeight="1" x14ac:dyDescent="0.25">
      <c r="A101" s="1791"/>
      <c r="B101" s="1791"/>
      <c r="C101" s="1492"/>
      <c r="D101" s="1493"/>
      <c r="E101" s="1494"/>
      <c r="F101" s="1504"/>
      <c r="G101" s="1496"/>
      <c r="H101" s="1496"/>
      <c r="I101" s="1801"/>
      <c r="J101" s="1496"/>
      <c r="K101" s="1801"/>
      <c r="L101" s="1496"/>
      <c r="M101" s="1801"/>
      <c r="N101" s="1496"/>
      <c r="O101" s="1801"/>
      <c r="P101" s="1496"/>
      <c r="Q101" s="1496"/>
      <c r="S101" s="340"/>
    </row>
    <row r="102" spans="1:28" x14ac:dyDescent="0.25">
      <c r="A102" s="1791"/>
      <c r="B102" s="1791"/>
      <c r="C102" s="1492"/>
      <c r="D102" s="1493"/>
      <c r="E102" s="1494"/>
      <c r="F102" s="2458" t="s">
        <v>840</v>
      </c>
      <c r="G102" s="2458"/>
      <c r="H102" s="2458"/>
      <c r="I102" s="2458"/>
      <c r="J102" s="2458"/>
      <c r="K102" s="2458"/>
      <c r="L102" s="2458"/>
      <c r="M102" s="2458"/>
      <c r="N102" s="2458"/>
      <c r="O102" s="2458"/>
      <c r="P102" s="2458"/>
      <c r="Q102" s="2458"/>
      <c r="S102" s="340"/>
    </row>
    <row r="103" spans="1:28" x14ac:dyDescent="0.25">
      <c r="A103" s="1791"/>
      <c r="B103" s="1791"/>
      <c r="C103" s="1492"/>
      <c r="D103" s="1493"/>
      <c r="E103" s="1494"/>
      <c r="F103" s="2458" t="s">
        <v>841</v>
      </c>
      <c r="G103" s="2458"/>
      <c r="H103" s="2458"/>
      <c r="I103" s="2458"/>
      <c r="J103" s="2458"/>
      <c r="K103" s="2458"/>
      <c r="L103" s="2458"/>
      <c r="M103" s="2458"/>
      <c r="N103" s="2458"/>
      <c r="O103" s="2458"/>
      <c r="P103" s="2458"/>
      <c r="Q103" s="2458"/>
      <c r="S103" s="340"/>
    </row>
    <row r="104" spans="1:28" x14ac:dyDescent="0.25">
      <c r="A104" s="1791"/>
      <c r="B104" s="1791"/>
      <c r="C104" s="1492"/>
      <c r="D104" s="1493"/>
      <c r="E104" s="1494"/>
      <c r="F104" s="2317" t="s">
        <v>842</v>
      </c>
      <c r="G104" s="2317"/>
      <c r="H104" s="2317"/>
      <c r="I104" s="2317"/>
      <c r="J104" s="2317"/>
      <c r="K104" s="2317"/>
      <c r="L104" s="2317"/>
      <c r="M104" s="2317"/>
      <c r="N104" s="2317"/>
      <c r="O104" s="2317"/>
      <c r="P104" s="2317"/>
      <c r="Q104" s="2317"/>
      <c r="S104" s="438" t="s">
        <v>1355</v>
      </c>
      <c r="T104" s="580"/>
      <c r="U104" s="580"/>
      <c r="V104" s="580"/>
      <c r="W104" s="580"/>
      <c r="X104" s="580"/>
      <c r="Y104" s="580"/>
      <c r="Z104" s="580"/>
      <c r="AA104" s="580"/>
      <c r="AB104" s="580"/>
    </row>
    <row r="105" spans="1:28" ht="6.75" customHeight="1" x14ac:dyDescent="0.25">
      <c r="A105" s="1791"/>
      <c r="B105" s="1791"/>
      <c r="C105" s="1492"/>
      <c r="D105" s="1493"/>
      <c r="E105" s="1494"/>
      <c r="F105" s="1549"/>
      <c r="G105" s="1549"/>
      <c r="H105" s="1549"/>
      <c r="I105" s="1549"/>
      <c r="J105" s="1549"/>
      <c r="K105" s="1549"/>
      <c r="L105" s="1549"/>
      <c r="M105" s="1549"/>
      <c r="N105" s="1549"/>
      <c r="O105" s="1549"/>
      <c r="P105" s="1549"/>
      <c r="Q105" s="1549"/>
      <c r="S105" s="340"/>
      <c r="T105" s="580"/>
      <c r="U105" s="580"/>
      <c r="V105" s="580"/>
      <c r="W105" s="580"/>
      <c r="X105" s="580"/>
      <c r="Y105" s="580"/>
      <c r="Z105" s="580"/>
      <c r="AA105" s="580"/>
      <c r="AB105" s="580"/>
    </row>
    <row r="106" spans="1:28" x14ac:dyDescent="0.25">
      <c r="A106" s="1791"/>
      <c r="B106" s="1791"/>
      <c r="C106" s="1492"/>
      <c r="D106" s="1493"/>
      <c r="E106" s="1512"/>
      <c r="F106" s="2377" t="s">
        <v>912</v>
      </c>
      <c r="G106" s="2377"/>
      <c r="H106" s="2377"/>
      <c r="I106" s="2377"/>
      <c r="J106" s="2377"/>
      <c r="K106" s="2377"/>
      <c r="L106" s="2377"/>
      <c r="M106" s="2377"/>
      <c r="N106" s="2377"/>
      <c r="O106" s="2377"/>
      <c r="P106" s="1504"/>
      <c r="Q106" s="1504"/>
      <c r="S106" s="438" t="s">
        <v>1358</v>
      </c>
      <c r="T106" s="580"/>
      <c r="U106" s="580"/>
      <c r="V106" s="580"/>
      <c r="W106" s="580"/>
      <c r="X106" s="580"/>
      <c r="Y106" s="580"/>
      <c r="Z106" s="580"/>
      <c r="AA106" s="580"/>
      <c r="AB106" s="580"/>
    </row>
    <row r="107" spans="1:28" x14ac:dyDescent="0.25">
      <c r="A107" s="1791"/>
      <c r="B107" s="1791"/>
      <c r="C107" s="1492"/>
      <c r="D107" s="1493"/>
      <c r="E107" s="1494"/>
      <c r="F107" s="1504"/>
      <c r="G107" s="1496"/>
      <c r="H107" s="1496"/>
      <c r="I107" s="1496"/>
      <c r="J107" s="1496"/>
      <c r="K107" s="1497"/>
      <c r="L107" s="1496"/>
      <c r="M107" s="1496"/>
      <c r="N107" s="1496"/>
      <c r="O107" s="1496"/>
      <c r="P107" s="1496"/>
      <c r="Q107" s="1496"/>
      <c r="S107" s="340"/>
    </row>
    <row r="108" spans="1:28" x14ac:dyDescent="0.25">
      <c r="A108" s="1791"/>
      <c r="B108" s="1791"/>
      <c r="C108" s="1492"/>
      <c r="D108" s="1493"/>
      <c r="E108" s="1515" t="s">
        <v>654</v>
      </c>
      <c r="F108" s="1516" t="s">
        <v>843</v>
      </c>
      <c r="G108" s="1496"/>
      <c r="H108" s="1496"/>
      <c r="I108" s="1496"/>
      <c r="J108" s="1496"/>
      <c r="K108" s="1497"/>
      <c r="L108" s="1496"/>
      <c r="M108" s="1496"/>
      <c r="N108" s="1496"/>
      <c r="O108" s="1496"/>
      <c r="P108" s="1496"/>
      <c r="Q108" s="1496"/>
      <c r="S108" s="340"/>
    </row>
    <row r="109" spans="1:28" ht="7.5" customHeight="1" x14ac:dyDescent="0.25">
      <c r="A109" s="1791"/>
      <c r="B109" s="1791"/>
      <c r="C109" s="1492"/>
      <c r="D109" s="1493"/>
      <c r="E109" s="1494"/>
      <c r="F109" s="1504"/>
      <c r="G109" s="1496"/>
      <c r="H109" s="1496"/>
      <c r="I109" s="1496"/>
      <c r="J109" s="1496"/>
      <c r="K109" s="1497"/>
      <c r="L109" s="1496"/>
      <c r="M109" s="1496"/>
      <c r="N109" s="1496"/>
      <c r="O109" s="1496"/>
      <c r="P109" s="1496"/>
      <c r="Q109" s="1496"/>
      <c r="S109" s="340"/>
    </row>
    <row r="110" spans="1:28" ht="27.6" x14ac:dyDescent="0.25">
      <c r="A110" s="1791"/>
      <c r="B110" s="1791"/>
      <c r="C110" s="1492"/>
      <c r="D110" s="1493"/>
      <c r="E110" s="1494"/>
      <c r="F110" s="1795" t="s">
        <v>844</v>
      </c>
      <c r="G110" s="1496"/>
      <c r="H110" s="1496"/>
      <c r="I110" s="1796">
        <v>0</v>
      </c>
      <c r="J110" s="2460"/>
      <c r="K110" s="1796">
        <v>0</v>
      </c>
      <c r="L110" s="1497"/>
      <c r="M110" s="1796">
        <v>0</v>
      </c>
      <c r="N110" s="2460"/>
      <c r="O110" s="1796">
        <v>0</v>
      </c>
      <c r="P110" s="1797"/>
      <c r="Q110" s="1496"/>
      <c r="S110" s="340"/>
    </row>
    <row r="111" spans="1:28" x14ac:dyDescent="0.25">
      <c r="A111" s="1791"/>
      <c r="B111" s="1791"/>
      <c r="C111" s="1492"/>
      <c r="D111" s="1493"/>
      <c r="E111" s="1494"/>
      <c r="F111" s="1812" t="s">
        <v>845</v>
      </c>
      <c r="G111" s="1496"/>
      <c r="H111" s="1496"/>
      <c r="I111" s="1811">
        <v>0</v>
      </c>
      <c r="J111" s="2460"/>
      <c r="K111" s="1811">
        <v>0</v>
      </c>
      <c r="L111" s="1496"/>
      <c r="M111" s="1811">
        <v>0</v>
      </c>
      <c r="N111" s="2460"/>
      <c r="O111" s="1811">
        <v>0</v>
      </c>
      <c r="P111" s="1797"/>
      <c r="Q111" s="1496"/>
      <c r="S111" s="340"/>
    </row>
    <row r="112" spans="1:28" ht="5.25" customHeight="1" x14ac:dyDescent="0.25">
      <c r="A112" s="1791"/>
      <c r="B112" s="1791"/>
      <c r="C112" s="1492"/>
      <c r="D112" s="1493"/>
      <c r="E112" s="1515"/>
      <c r="F112" s="1504"/>
      <c r="G112" s="1496"/>
      <c r="H112" s="1496"/>
      <c r="I112" s="1518"/>
      <c r="J112" s="1798"/>
      <c r="K112" s="1518"/>
      <c r="L112" s="1496"/>
      <c r="M112" s="1518"/>
      <c r="N112" s="1799"/>
      <c r="O112" s="1518"/>
      <c r="P112" s="1797"/>
      <c r="Q112" s="1496"/>
      <c r="S112" s="340"/>
    </row>
    <row r="113" spans="1:25" ht="16.5" customHeight="1" x14ac:dyDescent="0.25">
      <c r="A113" s="1791"/>
      <c r="B113" s="1791"/>
      <c r="C113" s="1492"/>
      <c r="D113" s="1493"/>
      <c r="E113" s="1515"/>
      <c r="F113" s="1504" t="s">
        <v>918</v>
      </c>
      <c r="G113" s="1813">
        <v>1</v>
      </c>
      <c r="H113" s="1496"/>
      <c r="I113" s="1801" t="e">
        <f>+I110/I111</f>
        <v>#DIV/0!</v>
      </c>
      <c r="J113" s="1798"/>
      <c r="K113" s="1801" t="e">
        <f>+K110/K111</f>
        <v>#DIV/0!</v>
      </c>
      <c r="L113" s="1496"/>
      <c r="M113" s="1801" t="e">
        <f>+M110/M111</f>
        <v>#DIV/0!</v>
      </c>
      <c r="N113" s="1799"/>
      <c r="O113" s="1801" t="e">
        <f>+O110/O111</f>
        <v>#DIV/0!</v>
      </c>
      <c r="P113" s="1797"/>
      <c r="Q113" s="1496"/>
      <c r="S113" s="340"/>
    </row>
    <row r="114" spans="1:25" x14ac:dyDescent="0.25">
      <c r="A114" s="1791"/>
      <c r="B114" s="1791"/>
      <c r="C114" s="1492"/>
      <c r="D114" s="1493"/>
      <c r="E114" s="1494"/>
      <c r="F114" s="1504"/>
      <c r="G114" s="1496"/>
      <c r="H114" s="1496"/>
      <c r="I114" s="1801"/>
      <c r="J114" s="1496"/>
      <c r="K114" s="1801"/>
      <c r="L114" s="1496"/>
      <c r="M114" s="1801"/>
      <c r="N114" s="1496"/>
      <c r="O114" s="1801"/>
      <c r="P114" s="1496"/>
      <c r="Q114" s="1496"/>
      <c r="S114" s="340"/>
    </row>
    <row r="115" spans="1:25" x14ac:dyDescent="0.25">
      <c r="A115" s="1791"/>
      <c r="B115" s="1791"/>
      <c r="C115" s="1492"/>
      <c r="D115" s="1493"/>
      <c r="E115" s="1494"/>
      <c r="F115" s="2458" t="s">
        <v>846</v>
      </c>
      <c r="G115" s="2458"/>
      <c r="H115" s="2458"/>
      <c r="I115" s="2458"/>
      <c r="J115" s="2458"/>
      <c r="K115" s="2458"/>
      <c r="L115" s="2458"/>
      <c r="M115" s="2458"/>
      <c r="N115" s="2458"/>
      <c r="O115" s="2458"/>
      <c r="P115" s="2458"/>
      <c r="Q115" s="2458"/>
      <c r="S115" s="438" t="s">
        <v>1355</v>
      </c>
      <c r="T115" s="580"/>
      <c r="U115" s="580"/>
      <c r="V115" s="580"/>
      <c r="W115" s="580"/>
      <c r="X115" s="580"/>
      <c r="Y115" s="580"/>
    </row>
    <row r="116" spans="1:25" ht="6.75" customHeight="1" x14ac:dyDescent="0.25">
      <c r="A116" s="1791"/>
      <c r="B116" s="1791"/>
      <c r="C116" s="1492"/>
      <c r="D116" s="1493"/>
      <c r="E116" s="1494"/>
      <c r="F116" s="1549"/>
      <c r="G116" s="1549"/>
      <c r="H116" s="1549"/>
      <c r="I116" s="1549"/>
      <c r="J116" s="1549"/>
      <c r="K116" s="1549"/>
      <c r="L116" s="1549"/>
      <c r="M116" s="1549"/>
      <c r="N116" s="1549"/>
      <c r="O116" s="1549"/>
      <c r="P116" s="1549"/>
      <c r="Q116" s="1549"/>
      <c r="S116" s="340"/>
      <c r="T116" s="580"/>
      <c r="U116" s="580"/>
      <c r="V116" s="580"/>
      <c r="W116" s="580"/>
      <c r="X116" s="580"/>
      <c r="Y116" s="580"/>
    </row>
    <row r="117" spans="1:25" x14ac:dyDescent="0.25">
      <c r="A117" s="1791"/>
      <c r="B117" s="1791"/>
      <c r="C117" s="1492"/>
      <c r="D117" s="1493"/>
      <c r="E117" s="1512"/>
      <c r="F117" s="2377" t="s">
        <v>912</v>
      </c>
      <c r="G117" s="2377"/>
      <c r="H117" s="2377"/>
      <c r="I117" s="2377"/>
      <c r="J117" s="2377"/>
      <c r="K117" s="2377"/>
      <c r="L117" s="2377"/>
      <c r="M117" s="2377"/>
      <c r="N117" s="2377"/>
      <c r="O117" s="2377"/>
      <c r="P117" s="1504"/>
      <c r="Q117" s="1504"/>
      <c r="S117" s="438" t="s">
        <v>1357</v>
      </c>
      <c r="T117" s="580"/>
      <c r="U117" s="580"/>
      <c r="V117" s="580"/>
      <c r="W117" s="580"/>
      <c r="X117" s="580"/>
      <c r="Y117" s="580"/>
    </row>
    <row r="118" spans="1:25" x14ac:dyDescent="0.25">
      <c r="A118" s="1791"/>
      <c r="B118" s="1791"/>
      <c r="C118" s="1492"/>
      <c r="D118" s="1493"/>
      <c r="E118" s="1494"/>
      <c r="F118" s="1549"/>
      <c r="G118" s="1549"/>
      <c r="H118" s="1549"/>
      <c r="I118" s="1549"/>
      <c r="J118" s="1549"/>
      <c r="K118" s="1549"/>
      <c r="L118" s="1549"/>
      <c r="M118" s="1549"/>
      <c r="N118" s="1549"/>
      <c r="O118" s="1549"/>
      <c r="P118" s="1549"/>
      <c r="Q118" s="1549"/>
      <c r="S118" s="340"/>
      <c r="T118" s="580"/>
      <c r="U118" s="580"/>
      <c r="V118" s="580"/>
      <c r="W118" s="580"/>
      <c r="X118" s="580"/>
      <c r="Y118" s="580"/>
    </row>
    <row r="119" spans="1:25" ht="54" customHeight="1" x14ac:dyDescent="0.25">
      <c r="A119" s="1791"/>
      <c r="B119" s="1791"/>
      <c r="C119" s="1492"/>
      <c r="D119" s="1493"/>
      <c r="E119" s="1494"/>
      <c r="F119" s="1814">
        <f>'Merge Details_Printing instr'!A19</f>
        <v>2024</v>
      </c>
      <c r="G119" s="1549"/>
      <c r="H119" s="1549">
        <f>H118-H117</f>
        <v>0</v>
      </c>
      <c r="I119" s="1520" t="s">
        <v>1745</v>
      </c>
      <c r="J119" s="1520"/>
      <c r="K119" s="1520" t="s">
        <v>848</v>
      </c>
      <c r="L119" s="1520"/>
      <c r="M119" s="2458" t="s">
        <v>849</v>
      </c>
      <c r="N119" s="2458"/>
      <c r="O119" s="1549"/>
      <c r="P119" s="1549"/>
      <c r="Q119" s="1549"/>
      <c r="S119" s="2005" t="s">
        <v>1344</v>
      </c>
    </row>
    <row r="120" spans="1:25" x14ac:dyDescent="0.25">
      <c r="A120" s="1791"/>
      <c r="B120" s="1791"/>
      <c r="C120" s="1492"/>
      <c r="D120" s="1493"/>
      <c r="E120" s="1494"/>
      <c r="F120" s="1815" t="s">
        <v>850</v>
      </c>
      <c r="G120" s="1549"/>
      <c r="H120" s="1549"/>
      <c r="I120" s="1507" t="s">
        <v>60</v>
      </c>
      <c r="J120" s="1507"/>
      <c r="K120" s="1507" t="s">
        <v>60</v>
      </c>
      <c r="L120" s="1549"/>
      <c r="M120" s="1507" t="s">
        <v>60</v>
      </c>
      <c r="N120" s="1549"/>
      <c r="O120" s="1549"/>
      <c r="P120" s="1549"/>
      <c r="Q120" s="1549"/>
      <c r="S120" s="2006" t="s">
        <v>1118</v>
      </c>
    </row>
    <row r="121" spans="1:25" x14ac:dyDescent="0.25">
      <c r="A121" s="1791"/>
      <c r="B121" s="1791"/>
      <c r="C121" s="1492"/>
      <c r="D121" s="1493"/>
      <c r="E121" s="1494"/>
      <c r="F121" s="1815" t="s">
        <v>92</v>
      </c>
      <c r="G121" s="1549"/>
      <c r="H121" s="1549"/>
      <c r="I121" s="1816">
        <v>0</v>
      </c>
      <c r="J121" s="1816"/>
      <c r="K121" s="1816">
        <v>0</v>
      </c>
      <c r="L121" s="1816"/>
      <c r="M121" s="1816">
        <v>0</v>
      </c>
      <c r="N121" s="1549"/>
      <c r="O121" s="1549"/>
      <c r="P121" s="1549"/>
      <c r="Q121" s="1549"/>
      <c r="S121" s="340"/>
    </row>
    <row r="122" spans="1:25" x14ac:dyDescent="0.25">
      <c r="A122" s="1791"/>
      <c r="B122" s="1791"/>
      <c r="C122" s="1492"/>
      <c r="D122" s="1493"/>
      <c r="E122" s="1494"/>
      <c r="F122" s="1815" t="s">
        <v>851</v>
      </c>
      <c r="G122" s="1549"/>
      <c r="H122" s="1549"/>
      <c r="I122" s="1816">
        <v>0</v>
      </c>
      <c r="J122" s="1816"/>
      <c r="K122" s="1816">
        <v>0</v>
      </c>
      <c r="L122" s="1816"/>
      <c r="M122" s="1816">
        <v>0</v>
      </c>
      <c r="N122" s="1549"/>
      <c r="O122" s="1549"/>
      <c r="P122" s="1549"/>
      <c r="Q122" s="1549"/>
      <c r="S122" s="340"/>
    </row>
    <row r="123" spans="1:25" x14ac:dyDescent="0.25">
      <c r="A123" s="1791"/>
      <c r="B123" s="1791"/>
      <c r="C123" s="1492"/>
      <c r="D123" s="1493"/>
      <c r="E123" s="1494"/>
      <c r="F123" s="1817" t="s">
        <v>103</v>
      </c>
      <c r="G123" s="1549"/>
      <c r="H123" s="1549"/>
      <c r="I123" s="1818">
        <f>SUM(I121:I122)</f>
        <v>0</v>
      </c>
      <c r="J123" s="1816"/>
      <c r="K123" s="1818">
        <f>SUM(K121:K122)</f>
        <v>0</v>
      </c>
      <c r="L123" s="1816"/>
      <c r="M123" s="1818">
        <f>SUM(M121:M122)</f>
        <v>0</v>
      </c>
      <c r="N123" s="1549"/>
      <c r="O123" s="1549"/>
      <c r="P123" s="1549"/>
      <c r="Q123" s="1549"/>
      <c r="S123" s="340" t="s">
        <v>1230</v>
      </c>
    </row>
    <row r="124" spans="1:25" x14ac:dyDescent="0.25">
      <c r="A124" s="1791"/>
      <c r="B124" s="1791"/>
      <c r="C124" s="1492"/>
      <c r="D124" s="1493"/>
      <c r="E124" s="1494"/>
      <c r="F124" s="1549"/>
      <c r="G124" s="1549"/>
      <c r="H124" s="1549"/>
      <c r="I124" s="1549"/>
      <c r="J124" s="1549"/>
      <c r="K124" s="1549"/>
      <c r="L124" s="1549"/>
      <c r="M124" s="1549"/>
      <c r="N124" s="1549"/>
      <c r="O124" s="1549"/>
      <c r="P124" s="1549"/>
      <c r="Q124" s="1549"/>
      <c r="S124" s="340"/>
    </row>
    <row r="125" spans="1:25" x14ac:dyDescent="0.25">
      <c r="A125" s="1791"/>
      <c r="B125" s="1791"/>
      <c r="C125" s="1492"/>
      <c r="D125" s="1493"/>
      <c r="E125" s="1494"/>
      <c r="F125" s="1549"/>
      <c r="G125" s="1549"/>
      <c r="H125" s="1549"/>
      <c r="I125" s="1549"/>
      <c r="J125" s="1549"/>
      <c r="K125" s="1549"/>
      <c r="L125" s="1549"/>
      <c r="M125" s="1549"/>
      <c r="N125" s="1549"/>
      <c r="O125" s="1549"/>
      <c r="P125" s="1549"/>
      <c r="Q125" s="1549"/>
      <c r="S125" s="340"/>
    </row>
    <row r="126" spans="1:25" ht="54" customHeight="1" x14ac:dyDescent="0.25">
      <c r="A126" s="1791"/>
      <c r="B126" s="1791"/>
      <c r="C126" s="1492"/>
      <c r="D126" s="1493"/>
      <c r="E126" s="1494"/>
      <c r="F126" s="1814">
        <f>F119-1</f>
        <v>2023</v>
      </c>
      <c r="G126" s="1549"/>
      <c r="H126" s="1549"/>
      <c r="I126" s="1520" t="s">
        <v>1745</v>
      </c>
      <c r="J126" s="1520"/>
      <c r="K126" s="1520" t="s">
        <v>848</v>
      </c>
      <c r="L126" s="1520"/>
      <c r="M126" s="2458" t="s">
        <v>849</v>
      </c>
      <c r="N126" s="2458"/>
      <c r="O126" s="1549"/>
      <c r="P126" s="1549"/>
      <c r="Q126" s="1549"/>
    </row>
    <row r="127" spans="1:25" x14ac:dyDescent="0.25">
      <c r="A127" s="1791"/>
      <c r="B127" s="1791"/>
      <c r="C127" s="1492"/>
      <c r="D127" s="1493"/>
      <c r="E127" s="1494"/>
      <c r="F127" s="1815" t="s">
        <v>850</v>
      </c>
      <c r="G127" s="1549"/>
      <c r="H127" s="1549"/>
      <c r="I127" s="1507" t="s">
        <v>60</v>
      </c>
      <c r="J127" s="1507"/>
      <c r="K127" s="1507" t="s">
        <v>60</v>
      </c>
      <c r="L127" s="1549"/>
      <c r="M127" s="1507" t="s">
        <v>60</v>
      </c>
      <c r="N127" s="1549"/>
      <c r="O127" s="1549"/>
      <c r="P127" s="1549"/>
      <c r="Q127" s="1549"/>
    </row>
    <row r="128" spans="1:25" x14ac:dyDescent="0.25">
      <c r="A128" s="1791"/>
      <c r="B128" s="1791"/>
      <c r="C128" s="1492"/>
      <c r="D128" s="1493"/>
      <c r="E128" s="1494"/>
      <c r="F128" s="1815" t="s">
        <v>92</v>
      </c>
      <c r="G128" s="1549"/>
      <c r="H128" s="1549"/>
      <c r="I128" s="1816">
        <v>0</v>
      </c>
      <c r="J128" s="1816"/>
      <c r="K128" s="1816">
        <v>0</v>
      </c>
      <c r="L128" s="1816"/>
      <c r="M128" s="1816">
        <v>0</v>
      </c>
      <c r="N128" s="1549"/>
      <c r="O128" s="1549"/>
      <c r="P128" s="1549"/>
      <c r="Q128" s="1549"/>
    </row>
    <row r="129" spans="1:17" x14ac:dyDescent="0.25">
      <c r="A129" s="1791"/>
      <c r="B129" s="1791"/>
      <c r="C129" s="1492"/>
      <c r="D129" s="1493"/>
      <c r="E129" s="1494"/>
      <c r="F129" s="1815" t="s">
        <v>851</v>
      </c>
      <c r="G129" s="1549"/>
      <c r="H129" s="1549"/>
      <c r="I129" s="1816">
        <v>0</v>
      </c>
      <c r="J129" s="1816"/>
      <c r="K129" s="1816">
        <v>0</v>
      </c>
      <c r="L129" s="1816"/>
      <c r="M129" s="1816">
        <v>0</v>
      </c>
      <c r="N129" s="1549"/>
      <c r="O129" s="1549"/>
      <c r="P129" s="1549"/>
      <c r="Q129" s="1549"/>
    </row>
    <row r="130" spans="1:17" x14ac:dyDescent="0.25">
      <c r="A130" s="1791"/>
      <c r="B130" s="1791"/>
      <c r="C130" s="1492"/>
      <c r="D130" s="1493"/>
      <c r="E130" s="1494"/>
      <c r="F130" s="1817" t="s">
        <v>103</v>
      </c>
      <c r="G130" s="1549"/>
      <c r="H130" s="1549"/>
      <c r="I130" s="1818">
        <f>SUM(I128:I129)</f>
        <v>0</v>
      </c>
      <c r="J130" s="1816"/>
      <c r="K130" s="1818">
        <f>SUM(K128:K129)</f>
        <v>0</v>
      </c>
      <c r="L130" s="1816"/>
      <c r="M130" s="1818">
        <f>SUM(M128:M129)</f>
        <v>0</v>
      </c>
      <c r="N130" s="1549"/>
      <c r="O130" s="1549"/>
      <c r="P130" s="1549"/>
      <c r="Q130" s="1549"/>
    </row>
    <row r="131" spans="1:17" x14ac:dyDescent="0.25">
      <c r="A131" s="756"/>
      <c r="B131" s="756"/>
      <c r="C131" s="431"/>
      <c r="F131" s="760"/>
      <c r="G131" s="760"/>
      <c r="H131" s="760"/>
      <c r="I131" s="760"/>
      <c r="J131" s="760"/>
      <c r="K131" s="760"/>
      <c r="L131" s="760"/>
      <c r="M131" s="760"/>
      <c r="N131" s="760"/>
      <c r="O131" s="760"/>
      <c r="P131" s="760"/>
      <c r="Q131" s="760"/>
    </row>
    <row r="132" spans="1:17" x14ac:dyDescent="0.25">
      <c r="A132" s="756"/>
      <c r="B132" s="756"/>
      <c r="C132" s="431"/>
      <c r="F132" s="760"/>
      <c r="G132" s="760"/>
      <c r="H132" s="760"/>
      <c r="I132" s="760"/>
      <c r="J132" s="760"/>
      <c r="K132" s="760"/>
      <c r="L132" s="760"/>
      <c r="M132" s="760"/>
      <c r="N132" s="760"/>
      <c r="O132" s="760"/>
      <c r="P132" s="760"/>
      <c r="Q132" s="760"/>
    </row>
    <row r="133" spans="1:17" x14ac:dyDescent="0.25">
      <c r="A133" s="756"/>
      <c r="B133" s="756"/>
      <c r="C133" s="431"/>
      <c r="F133" s="760"/>
      <c r="G133" s="760"/>
      <c r="H133" s="760"/>
      <c r="I133" s="760"/>
      <c r="J133" s="760"/>
      <c r="K133" s="760"/>
      <c r="L133" s="760"/>
      <c r="M133" s="760"/>
      <c r="N133" s="760"/>
      <c r="O133" s="760"/>
      <c r="P133" s="760"/>
      <c r="Q133" s="760"/>
    </row>
    <row r="134" spans="1:17" x14ac:dyDescent="0.25">
      <c r="A134" s="756"/>
      <c r="B134" s="756"/>
      <c r="C134" s="431"/>
      <c r="F134" s="760"/>
      <c r="G134" s="760"/>
      <c r="H134" s="760"/>
      <c r="I134" s="760"/>
      <c r="J134" s="760"/>
      <c r="K134" s="760"/>
      <c r="L134" s="760"/>
      <c r="M134" s="760"/>
      <c r="N134" s="760"/>
      <c r="O134" s="760"/>
      <c r="P134" s="760"/>
      <c r="Q134" s="760"/>
    </row>
    <row r="135" spans="1:17" x14ac:dyDescent="0.25">
      <c r="A135" s="756"/>
      <c r="B135" s="756"/>
      <c r="C135" s="431"/>
      <c r="F135" s="760"/>
      <c r="G135" s="760"/>
      <c r="H135" s="760"/>
      <c r="I135" s="760"/>
      <c r="J135" s="760"/>
      <c r="K135" s="760"/>
      <c r="L135" s="760"/>
      <c r="M135" s="760"/>
      <c r="N135" s="760"/>
      <c r="O135" s="760"/>
      <c r="P135" s="760"/>
      <c r="Q135" s="760"/>
    </row>
    <row r="136" spans="1:17" x14ac:dyDescent="0.25">
      <c r="A136" s="756"/>
      <c r="B136" s="756"/>
      <c r="C136" s="431"/>
      <c r="F136" s="757"/>
    </row>
    <row r="137" spans="1:17" x14ac:dyDescent="0.25">
      <c r="A137" s="333"/>
      <c r="B137" s="336"/>
      <c r="C137" s="431"/>
      <c r="F137" s="2340"/>
      <c r="G137" s="2340"/>
      <c r="H137" s="2340"/>
      <c r="I137" s="2340"/>
      <c r="J137" s="2340"/>
      <c r="K137" s="2340"/>
      <c r="L137" s="2340"/>
      <c r="M137" s="2340"/>
      <c r="N137" s="2340"/>
      <c r="O137" s="2340"/>
      <c r="P137" s="2340"/>
      <c r="Q137" s="2340"/>
    </row>
    <row r="138" spans="1:17" ht="19.5" customHeight="1" x14ac:dyDescent="0.25">
      <c r="A138" s="2461"/>
      <c r="B138" s="2461"/>
      <c r="C138" s="2461"/>
      <c r="D138" s="2461"/>
      <c r="E138" s="2461"/>
      <c r="F138" s="2461"/>
      <c r="G138" s="2461"/>
      <c r="H138" s="2461"/>
      <c r="I138" s="2461"/>
      <c r="J138" s="2461"/>
      <c r="K138" s="2461"/>
      <c r="L138" s="2461"/>
      <c r="M138" s="2461"/>
      <c r="N138" s="2461"/>
      <c r="O138" s="2461"/>
      <c r="P138" s="2461"/>
      <c r="Q138" s="2461"/>
    </row>
    <row r="305" spans="2:18" s="339" customFormat="1" ht="11.25" customHeight="1" x14ac:dyDescent="0.25">
      <c r="B305" s="473"/>
      <c r="C305" s="350"/>
      <c r="D305" s="475"/>
      <c r="E305" s="321"/>
      <c r="F305" s="331"/>
      <c r="G305" s="474"/>
      <c r="H305" s="474"/>
      <c r="I305" s="474"/>
      <c r="J305" s="474"/>
      <c r="K305" s="332"/>
      <c r="L305" s="474"/>
      <c r="M305" s="474"/>
      <c r="N305" s="474"/>
      <c r="O305" s="474"/>
      <c r="P305" s="474"/>
      <c r="Q305" s="474"/>
      <c r="R305" s="474"/>
    </row>
  </sheetData>
  <mergeCells count="44">
    <mergeCell ref="F53:O53"/>
    <mergeCell ref="A54:Q54"/>
    <mergeCell ref="F52:Q52"/>
    <mergeCell ref="E4:F4"/>
    <mergeCell ref="F26:O26"/>
    <mergeCell ref="F27:O27"/>
    <mergeCell ref="J30:J31"/>
    <mergeCell ref="N30:N31"/>
    <mergeCell ref="F35:Q35"/>
    <mergeCell ref="F36:O36"/>
    <mergeCell ref="F43:Q43"/>
    <mergeCell ref="F44:O44"/>
    <mergeCell ref="J47:J48"/>
    <mergeCell ref="N47:N48"/>
    <mergeCell ref="F103:Q103"/>
    <mergeCell ref="J73:J74"/>
    <mergeCell ref="N73:N74"/>
    <mergeCell ref="F78:Q78"/>
    <mergeCell ref="F79:O79"/>
    <mergeCell ref="F83:Q83"/>
    <mergeCell ref="J85:J86"/>
    <mergeCell ref="N85:N86"/>
    <mergeCell ref="J91:J92"/>
    <mergeCell ref="N91:N92"/>
    <mergeCell ref="J97:J98"/>
    <mergeCell ref="N97:N98"/>
    <mergeCell ref="F102:Q102"/>
    <mergeCell ref="F137:Q137"/>
    <mergeCell ref="A138:Q138"/>
    <mergeCell ref="F104:Q104"/>
    <mergeCell ref="F106:O106"/>
    <mergeCell ref="J110:J111"/>
    <mergeCell ref="N110:N111"/>
    <mergeCell ref="F115:Q115"/>
    <mergeCell ref="F117:O117"/>
    <mergeCell ref="M119:N119"/>
    <mergeCell ref="M126:N126"/>
    <mergeCell ref="F56:Q56"/>
    <mergeCell ref="T56:X68"/>
    <mergeCell ref="J60:J61"/>
    <mergeCell ref="N64:N65"/>
    <mergeCell ref="J64:J65"/>
    <mergeCell ref="N58:N59"/>
    <mergeCell ref="J58:J59"/>
  </mergeCells>
  <hyperlinks>
    <hyperlink ref="F48" location="'Note 48'!A92" display="Total realisable assets  " xr:uid="{00000000-0004-0000-1B00-000000000000}"/>
    <hyperlink ref="I48" location="'Financial Ratios'!A1" display="'Financial Ratios'!A1" xr:uid="{00000000-0004-0000-1B00-000001000000}"/>
    <hyperlink ref="F47" location="'Note 48'!A81" display="Total indebtedness" xr:uid="{00000000-0004-0000-1B00-000002000000}"/>
    <hyperlink ref="I47" location="'Financial Ratios'!A1" display="'Financial Ratios'!A1" xr:uid="{00000000-0004-0000-1B00-000003000000}"/>
    <hyperlink ref="K48" location="'Financial Ratios'!A1" display="'Financial Ratios'!A1" xr:uid="{00000000-0004-0000-1B00-000004000000}"/>
    <hyperlink ref="K47" location="'Financial Ratios'!A1" display="'Financial Ratios'!A1" xr:uid="{00000000-0004-0000-1B00-000005000000}"/>
    <hyperlink ref="M48" location="'Financial Ratios'!A1" display="'Financial Ratios'!A1" xr:uid="{00000000-0004-0000-1B00-000006000000}"/>
    <hyperlink ref="M47" location="'Financial Ratios'!A1" display="'Financial Ratios'!A1" xr:uid="{00000000-0004-0000-1B00-000007000000}"/>
    <hyperlink ref="O48" location="'Financial Ratios'!A1" display="'Financial Ratios'!A1" xr:uid="{00000000-0004-0000-1B00-000008000000}"/>
    <hyperlink ref="O47" location="'Financial Ratios'!A1" display="'Financial Ratios'!A1" xr:uid="{00000000-0004-0000-1B00-000009000000}"/>
    <hyperlink ref="S1" r:id="rId1" display="https://www.legislation.tas.gov.au/view/html/inforce/current/sr-2014-036?query=((PrintType%3D%22act.reprint%22+AND+Amending%3C%3E%22pure%22+AND+PitValid%3D%40pointInTime(20230420000000))+OR+(PrintType%3D%22act.reprint%22+AND+Amending%3D%22pure%22+AND+PitValid%3D%40pointInTime(20230420000000))+OR+(PrintType%3D%22reprint%22+AND+Amending%3C%3E%22pure%22+AND+PitValid%3D%40pointInTime(20230420000000))+OR+(PrintType%3D%22reprint%22+AND+Amending%3D%22pure%22+AND+PitValid%3D%40pointInTime(20230420000000)))+AND+Title%3D(%22local%22+AND+%22government%22+AND+%22order%22+AND+%222014%22)&amp;dQuery=Document+Types%3D%22%3Cspan+class%3D%27dq-highlight%27%3EActs%3C%2Fspan%3E%2C+%3Cspan+class%3D%27dq-highlight%27%3EAmending+Acts%3C%2Fspan%3E%2C+%3Cspan+class%3D%27dq-highlight%27%3ESRs%3C%2Fspan%3E%2C+%3Cspan+class%3D%27dq-highlight%27%3EAmending+SRs%3C%2Fspan%3E%22%2C+Search+In%3D%22%3Cspan+class%3D%27dq-highlight%27%3ETitle%3C%2Fspan%3E%22%2C+All+Words%3D%22%3Cspan+class%3D%27dq-highlight%27%3Elocal+government+order+2014%3C%2Fspan%3E%22%2C+Point+In+Time%3D%22%3Cspan+class%3D%27dq-highlight%27%3E20%2F04%2F2023%3C%2Fspan%3E%22" xr:uid="{00000000-0004-0000-1B00-00000A000000}"/>
    <hyperlink ref="S4" r:id="rId2" display="https://www.audit.tas.gov.au/wp-content/uploads/Guidance-revised-to-local-government-councils-on-calculating-underlying-result.pdf" xr:uid="{00000000-0004-0000-1B00-00000B000000}"/>
  </hyperlinks>
  <pageMargins left="0.31496062992125984" right="0.31496062992125984" top="0.35433070866141736" bottom="0.35433070866141736" header="0.11811023622047245" footer="0.11811023622047245"/>
  <pageSetup paperSize="9" orientation="portrait" r:id="rId3"/>
  <headerFooter>
    <oddFooter>&amp;R&amp;P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FF00"/>
  </sheetPr>
  <dimension ref="A1:AE400"/>
  <sheetViews>
    <sheetView showGridLines="0" view="pageBreakPreview" zoomScaleNormal="85" zoomScaleSheetLayoutView="100" workbookViewId="0">
      <pane ySplit="2" topLeftCell="A8" activePane="bottomLeft" state="frozen"/>
      <selection pane="bottomLeft"/>
    </sheetView>
  </sheetViews>
  <sheetFormatPr defaultColWidth="9" defaultRowHeight="14.4" x14ac:dyDescent="0.25"/>
  <cols>
    <col min="1" max="1" width="8.09765625" style="14" customWidth="1"/>
    <col min="2" max="2" width="6" style="14" customWidth="1"/>
    <col min="3" max="3" width="1.5" style="14" customWidth="1"/>
    <col min="4" max="4" width="19.59765625" style="41" customWidth="1"/>
    <col min="5" max="5" width="9.3984375" style="14" bestFit="1" customWidth="1"/>
    <col min="6" max="6" width="7" style="14" customWidth="1"/>
    <col min="7" max="7" width="16" style="14" customWidth="1"/>
    <col min="8" max="8" width="14.09765625" style="14" customWidth="1"/>
    <col min="9" max="9" width="16.8984375" style="14" customWidth="1"/>
    <col min="10" max="16384" width="9" style="14"/>
  </cols>
  <sheetData>
    <row r="1" spans="1:31" ht="16.5" customHeight="1" x14ac:dyDescent="0.25">
      <c r="A1" s="145" t="s">
        <v>206</v>
      </c>
      <c r="B1" s="145" t="s">
        <v>207</v>
      </c>
      <c r="C1" s="81" t="str">
        <f>IF('Merge Details_Printing instr'!$B$11="Insert details here",'Merge Details_Printing instr'!$A$11,'Merge Details_Printing instr'!$B$11)</f>
        <v>Council Name</v>
      </c>
    </row>
    <row r="2" spans="1:31" s="8" customFormat="1" ht="16.5" customHeight="1" x14ac:dyDescent="0.25">
      <c r="B2" s="7"/>
      <c r="C2" s="83" t="str">
        <f>+'Merge Details_Printing instr'!A12</f>
        <v>2023-2024 Financial Report</v>
      </c>
      <c r="D2" s="7"/>
      <c r="E2" s="7"/>
      <c r="F2" s="7"/>
      <c r="G2" s="7"/>
      <c r="H2" s="7"/>
      <c r="I2" s="7"/>
    </row>
    <row r="3" spans="1:31" s="8" customFormat="1" x14ac:dyDescent="0.25">
      <c r="A3" s="76"/>
      <c r="J3" s="14"/>
      <c r="K3" s="14"/>
      <c r="L3" s="14"/>
      <c r="M3" s="14"/>
      <c r="N3" s="14"/>
      <c r="O3" s="14"/>
      <c r="P3" s="14"/>
      <c r="Q3" s="14"/>
      <c r="R3" s="14"/>
      <c r="S3" s="14"/>
      <c r="T3" s="14"/>
      <c r="U3" s="14"/>
      <c r="V3" s="14"/>
      <c r="W3" s="14"/>
      <c r="X3" s="14"/>
      <c r="Y3" s="14"/>
      <c r="Z3" s="14"/>
      <c r="AA3" s="14"/>
      <c r="AB3" s="14"/>
      <c r="AC3" s="14"/>
      <c r="AD3" s="14"/>
      <c r="AE3" s="14"/>
    </row>
    <row r="4" spans="1:31" x14ac:dyDescent="0.25">
      <c r="B4" s="145"/>
    </row>
    <row r="5" spans="1:31" ht="20.25" customHeight="1" x14ac:dyDescent="0.25">
      <c r="A5" s="145"/>
      <c r="D5" s="2098" t="s">
        <v>335</v>
      </c>
      <c r="E5" s="2098"/>
      <c r="F5" s="2098"/>
      <c r="G5" s="2098"/>
      <c r="H5" s="2098"/>
      <c r="I5" s="2098"/>
    </row>
    <row r="6" spans="1:31" x14ac:dyDescent="0.25">
      <c r="A6" s="139"/>
      <c r="B6" s="139"/>
    </row>
    <row r="7" spans="1:31" x14ac:dyDescent="0.25">
      <c r="A7" s="139"/>
      <c r="B7" s="139"/>
      <c r="D7" s="47"/>
    </row>
    <row r="8" spans="1:31" ht="52.5" customHeight="1" x14ac:dyDescent="0.25">
      <c r="A8" s="139" t="s">
        <v>496</v>
      </c>
      <c r="B8" s="139" t="s">
        <v>297</v>
      </c>
      <c r="D8" s="2147" t="s">
        <v>1932</v>
      </c>
      <c r="E8" s="2147"/>
      <c r="F8" s="2147"/>
      <c r="G8" s="2147"/>
      <c r="H8" s="2147"/>
      <c r="I8" s="2147"/>
      <c r="J8" s="615"/>
    </row>
    <row r="9" spans="1:31" x14ac:dyDescent="0.25">
      <c r="A9" s="139"/>
      <c r="B9" s="139"/>
      <c r="D9" s="1201"/>
      <c r="E9" s="1201"/>
      <c r="F9" s="1201"/>
      <c r="G9" s="1201"/>
      <c r="H9" s="1201"/>
      <c r="I9" s="1201"/>
    </row>
    <row r="10" spans="1:31" x14ac:dyDescent="0.25">
      <c r="A10" s="139"/>
      <c r="B10" s="139"/>
      <c r="D10" s="1201"/>
      <c r="E10" s="1201"/>
      <c r="F10" s="1201"/>
      <c r="G10" s="1201"/>
      <c r="H10" s="1201"/>
      <c r="I10" s="1201"/>
    </row>
    <row r="11" spans="1:31" x14ac:dyDescent="0.25">
      <c r="A11" s="139"/>
      <c r="B11" s="139"/>
      <c r="D11" s="1354"/>
      <c r="E11" s="1354"/>
      <c r="F11" s="1354"/>
      <c r="G11" s="1354"/>
      <c r="H11" s="1354"/>
      <c r="I11" s="1354"/>
    </row>
    <row r="12" spans="1:31" x14ac:dyDescent="0.25">
      <c r="A12" s="139"/>
      <c r="B12" s="139"/>
      <c r="D12" s="1354"/>
      <c r="E12" s="1354"/>
      <c r="F12" s="1354"/>
      <c r="G12" s="1354"/>
      <c r="H12" s="1354"/>
      <c r="I12" s="1354"/>
    </row>
    <row r="13" spans="1:31" ht="16.5" customHeight="1" x14ac:dyDescent="0.25">
      <c r="A13" s="139"/>
      <c r="B13" s="139"/>
      <c r="D13" s="1354"/>
      <c r="E13" s="1354"/>
      <c r="F13" s="1354"/>
      <c r="G13" s="1354"/>
      <c r="H13" s="1354"/>
    </row>
    <row r="14" spans="1:31" x14ac:dyDescent="0.25">
      <c r="A14" s="139"/>
      <c r="B14" s="139"/>
      <c r="D14" s="1354"/>
      <c r="E14" s="1354"/>
      <c r="F14" s="1354"/>
      <c r="G14" s="1354"/>
      <c r="H14" s="1354"/>
    </row>
    <row r="15" spans="1:31" x14ac:dyDescent="0.25">
      <c r="A15" s="139"/>
      <c r="B15" s="139"/>
      <c r="D15" s="1820"/>
      <c r="E15" s="1363"/>
      <c r="F15" s="1363"/>
      <c r="G15" s="1363"/>
      <c r="H15" s="1363"/>
    </row>
    <row r="16" spans="1:31" x14ac:dyDescent="0.25">
      <c r="A16" s="139"/>
      <c r="B16" s="139"/>
      <c r="D16" s="2481" t="s">
        <v>1923</v>
      </c>
      <c r="E16" s="2481"/>
      <c r="F16" s="2481"/>
      <c r="G16" s="2481"/>
      <c r="H16" s="2481"/>
    </row>
    <row r="17" spans="1:11" x14ac:dyDescent="0.25">
      <c r="A17" s="139"/>
      <c r="B17" s="139"/>
      <c r="D17" s="2482" t="s">
        <v>215</v>
      </c>
      <c r="E17" s="2483"/>
      <c r="F17" s="1363"/>
      <c r="G17" s="1363"/>
      <c r="H17" s="1363"/>
      <c r="K17" s="312" t="s">
        <v>1686</v>
      </c>
    </row>
    <row r="18" spans="1:11" x14ac:dyDescent="0.25">
      <c r="A18" s="139"/>
      <c r="B18" s="139"/>
      <c r="D18" s="1820"/>
      <c r="E18" s="1363"/>
      <c r="F18" s="1363"/>
      <c r="G18" s="1363"/>
      <c r="H18" s="1363"/>
      <c r="K18" s="724" t="s">
        <v>1685</v>
      </c>
    </row>
    <row r="19" spans="1:11" x14ac:dyDescent="0.25">
      <c r="A19" s="139"/>
      <c r="B19" s="139"/>
      <c r="D19" s="1820" t="s">
        <v>472</v>
      </c>
      <c r="E19" s="1821" t="s">
        <v>1933</v>
      </c>
      <c r="F19" s="1363"/>
      <c r="G19" s="1822" t="s">
        <v>1931</v>
      </c>
      <c r="H19" s="1363"/>
      <c r="J19" s="484"/>
    </row>
    <row r="20" spans="1:11" x14ac:dyDescent="0.25">
      <c r="A20" s="139"/>
      <c r="B20" s="139"/>
      <c r="D20" s="2478"/>
      <c r="E20" s="2479"/>
      <c r="F20" s="2480"/>
      <c r="G20" s="1363"/>
      <c r="H20" s="1363"/>
      <c r="I20" s="1363"/>
    </row>
    <row r="21" spans="1:11" x14ac:dyDescent="0.25">
      <c r="A21" s="1837"/>
      <c r="B21" s="1837"/>
      <c r="D21" s="1840"/>
      <c r="E21" s="1841"/>
      <c r="F21" s="1842"/>
      <c r="G21" s="1363"/>
      <c r="H21" s="1363"/>
      <c r="I21" s="1363"/>
    </row>
    <row r="22" spans="1:11" x14ac:dyDescent="0.25">
      <c r="A22" s="1837"/>
      <c r="B22" s="1837"/>
      <c r="D22" s="1840"/>
      <c r="E22" s="1841"/>
      <c r="F22" s="1842"/>
      <c r="G22" s="1363"/>
      <c r="H22" s="1363"/>
      <c r="I22" s="1363"/>
    </row>
    <row r="23" spans="1:11" x14ac:dyDescent="0.25">
      <c r="A23" s="1837"/>
      <c r="B23" s="1837"/>
      <c r="D23" s="1840"/>
      <c r="E23" s="1841"/>
      <c r="F23" s="1842"/>
      <c r="G23" s="1363"/>
      <c r="H23" s="1363"/>
      <c r="I23" s="1363"/>
    </row>
    <row r="24" spans="1:11" x14ac:dyDescent="0.25">
      <c r="A24" s="1837"/>
      <c r="B24" s="1837"/>
      <c r="D24" s="1840"/>
      <c r="E24" s="1841"/>
      <c r="F24" s="1842"/>
      <c r="G24" s="1363"/>
      <c r="H24" s="1363"/>
      <c r="I24" s="1363"/>
    </row>
    <row r="25" spans="1:11" x14ac:dyDescent="0.25">
      <c r="A25" s="1837"/>
      <c r="B25" s="1837"/>
      <c r="D25" s="1840"/>
      <c r="E25" s="1841"/>
      <c r="F25" s="1842"/>
      <c r="G25" s="1363"/>
      <c r="H25" s="1363"/>
      <c r="I25" s="1363"/>
    </row>
    <row r="26" spans="1:11" ht="73.5" customHeight="1" x14ac:dyDescent="0.25">
      <c r="A26" s="1837"/>
      <c r="B26" s="1837"/>
      <c r="D26" s="2469" t="s">
        <v>2074</v>
      </c>
      <c r="E26" s="2470"/>
      <c r="F26" s="2470"/>
      <c r="G26" s="2470"/>
      <c r="H26" s="2471"/>
      <c r="I26" s="1363"/>
    </row>
    <row r="27" spans="1:11" x14ac:dyDescent="0.25">
      <c r="A27" s="1837"/>
      <c r="B27" s="1837"/>
      <c r="D27" s="2472"/>
      <c r="E27" s="2473"/>
      <c r="F27" s="2473"/>
      <c r="G27" s="2473"/>
      <c r="H27" s="2474"/>
      <c r="I27" s="1363"/>
    </row>
    <row r="28" spans="1:11" x14ac:dyDescent="0.25">
      <c r="A28" s="1837"/>
      <c r="B28" s="1837"/>
      <c r="D28" s="2475"/>
      <c r="E28" s="2476"/>
      <c r="F28" s="2476"/>
      <c r="G28" s="2476"/>
      <c r="H28" s="2477"/>
      <c r="I28" s="1363"/>
    </row>
    <row r="29" spans="1:11" x14ac:dyDescent="0.25">
      <c r="A29" s="1837"/>
      <c r="B29" s="1837"/>
      <c r="D29" s="1895"/>
      <c r="E29" s="1895"/>
      <c r="F29" s="1895"/>
      <c r="G29" s="1895"/>
      <c r="H29" s="1363"/>
      <c r="I29" s="1363"/>
    </row>
    <row r="30" spans="1:11" x14ac:dyDescent="0.25">
      <c r="A30" s="1837"/>
      <c r="B30" s="1837"/>
      <c r="D30" s="1895"/>
      <c r="E30" s="1895"/>
      <c r="F30" s="1895"/>
      <c r="G30" s="1895"/>
      <c r="H30" s="1363"/>
      <c r="I30" s="1363"/>
    </row>
    <row r="31" spans="1:11" x14ac:dyDescent="0.25">
      <c r="A31" s="1837"/>
      <c r="B31" s="1837"/>
      <c r="D31" s="1896"/>
      <c r="E31" s="1896"/>
      <c r="F31" s="1896"/>
      <c r="G31" s="1896"/>
      <c r="H31" s="1363"/>
      <c r="I31" s="1363"/>
    </row>
    <row r="32" spans="1:11" x14ac:dyDescent="0.25">
      <c r="A32" s="1837"/>
      <c r="B32" s="1837"/>
      <c r="D32" s="1896"/>
      <c r="E32" s="1897"/>
      <c r="F32" s="1896"/>
      <c r="G32" s="1896"/>
      <c r="H32" s="1363"/>
      <c r="I32" s="1363"/>
    </row>
    <row r="33" spans="1:9" x14ac:dyDescent="0.25">
      <c r="A33" s="1837"/>
      <c r="B33" s="1837"/>
      <c r="D33" s="14"/>
      <c r="H33" s="1363"/>
      <c r="I33" s="1363"/>
    </row>
    <row r="34" spans="1:9" x14ac:dyDescent="0.25">
      <c r="A34" s="1837"/>
      <c r="B34" s="1837"/>
      <c r="D34" s="14"/>
      <c r="H34" s="1363"/>
      <c r="I34" s="1363"/>
    </row>
    <row r="35" spans="1:9" ht="16.5" customHeight="1" x14ac:dyDescent="0.25">
      <c r="A35" s="256"/>
      <c r="B35" s="139"/>
      <c r="D35" s="14"/>
      <c r="H35" s="1363"/>
      <c r="I35" s="1363"/>
    </row>
    <row r="36" spans="1:9" x14ac:dyDescent="0.25">
      <c r="D36" s="14"/>
    </row>
    <row r="37" spans="1:9" ht="33.75" customHeight="1" x14ac:dyDescent="0.25">
      <c r="D37" s="14"/>
    </row>
    <row r="38" spans="1:9" x14ac:dyDescent="0.25">
      <c r="D38" s="14"/>
    </row>
    <row r="39" spans="1:9" ht="33" customHeight="1" x14ac:dyDescent="0.25">
      <c r="D39" s="14"/>
    </row>
    <row r="40" spans="1:9" x14ac:dyDescent="0.25">
      <c r="D40" s="14"/>
    </row>
    <row r="41" spans="1:9" x14ac:dyDescent="0.25">
      <c r="D41" s="14"/>
    </row>
    <row r="42" spans="1:9" x14ac:dyDescent="0.25">
      <c r="D42" s="14"/>
    </row>
    <row r="43" spans="1:9" x14ac:dyDescent="0.25">
      <c r="D43" s="14"/>
    </row>
    <row r="44" spans="1:9" x14ac:dyDescent="0.25">
      <c r="D44" s="14"/>
    </row>
    <row r="45" spans="1:9" x14ac:dyDescent="0.25">
      <c r="D45" s="14"/>
    </row>
    <row r="46" spans="1:9" x14ac:dyDescent="0.25">
      <c r="D46" s="14"/>
    </row>
    <row r="47" spans="1:9" x14ac:dyDescent="0.25">
      <c r="D47" s="14"/>
    </row>
    <row r="48" spans="1:9" x14ac:dyDescent="0.25">
      <c r="D48" s="14"/>
    </row>
    <row r="49" spans="4:4" x14ac:dyDescent="0.25">
      <c r="D49" s="14"/>
    </row>
    <row r="50" spans="4:4" x14ac:dyDescent="0.25">
      <c r="D50" s="14"/>
    </row>
    <row r="51" spans="4:4" x14ac:dyDescent="0.25">
      <c r="D51" s="14"/>
    </row>
    <row r="52" spans="4:4" x14ac:dyDescent="0.25">
      <c r="D52" s="14"/>
    </row>
    <row r="53" spans="4:4" x14ac:dyDescent="0.25">
      <c r="D53" s="14"/>
    </row>
    <row r="54" spans="4:4" x14ac:dyDescent="0.25">
      <c r="D54" s="14"/>
    </row>
    <row r="55" spans="4:4" x14ac:dyDescent="0.25">
      <c r="D55" s="14"/>
    </row>
    <row r="56" spans="4:4" x14ac:dyDescent="0.25">
      <c r="D56" s="14"/>
    </row>
    <row r="57" spans="4:4" x14ac:dyDescent="0.25">
      <c r="D57" s="14"/>
    </row>
    <row r="58" spans="4:4" x14ac:dyDescent="0.25">
      <c r="D58" s="14"/>
    </row>
    <row r="59" spans="4:4" x14ac:dyDescent="0.25">
      <c r="D59" s="14"/>
    </row>
    <row r="60" spans="4:4" x14ac:dyDescent="0.25">
      <c r="D60" s="14"/>
    </row>
    <row r="61" spans="4:4" x14ac:dyDescent="0.25">
      <c r="D61" s="14"/>
    </row>
    <row r="62" spans="4:4" x14ac:dyDescent="0.25">
      <c r="D62" s="14"/>
    </row>
    <row r="63" spans="4:4" ht="16.5" customHeight="1" x14ac:dyDescent="0.25">
      <c r="D63" s="14"/>
    </row>
    <row r="64" spans="4:4" x14ac:dyDescent="0.25">
      <c r="D64" s="14"/>
    </row>
    <row r="65" spans="1:4" x14ac:dyDescent="0.25">
      <c r="D65" s="14"/>
    </row>
    <row r="66" spans="1:4" x14ac:dyDescent="0.25">
      <c r="D66" s="14"/>
    </row>
    <row r="67" spans="1:4" x14ac:dyDescent="0.25">
      <c r="D67" s="14"/>
    </row>
    <row r="68" spans="1:4" x14ac:dyDescent="0.25">
      <c r="A68" s="16"/>
      <c r="B68" s="16"/>
    </row>
    <row r="69" spans="1:4" x14ac:dyDescent="0.25">
      <c r="A69" s="16"/>
      <c r="B69" s="16"/>
    </row>
    <row r="70" spans="1:4" x14ac:dyDescent="0.25">
      <c r="A70" s="16"/>
      <c r="B70" s="16"/>
    </row>
    <row r="71" spans="1:4" x14ac:dyDescent="0.25">
      <c r="A71" s="16"/>
      <c r="B71" s="16"/>
    </row>
    <row r="72" spans="1:4" x14ac:dyDescent="0.25">
      <c r="A72" s="16"/>
      <c r="B72" s="16"/>
    </row>
    <row r="124" spans="8:8" x14ac:dyDescent="0.25">
      <c r="H124" s="14">
        <f>H123-H122</f>
        <v>0</v>
      </c>
    </row>
    <row r="400" ht="11.25" customHeight="1" x14ac:dyDescent="0.25"/>
  </sheetData>
  <customSheetViews>
    <customSheetView guid="{7F222B88-8DE7-4209-9261-78C075D2F561}" showPageBreaks="1" printArea="1" view="pageBreakPreview" showRuler="0">
      <pane ySplit="2" topLeftCell="A23" activePane="bottomLeft" state="frozen"/>
      <selection pane="bottomLeft" activeCell="D32" sqref="D32"/>
      <pageMargins left="0.74803149606299213" right="0.62992125984251968" top="0.70866141732283472" bottom="0.70866141732283472" header="0.51181102362204722" footer="0.51181102362204722"/>
      <pageSetup paperSize="9" scale="67" orientation="portrait" r:id="rId1"/>
      <headerFooter alignWithMargins="0">
        <oddFooter>&amp;C&amp;"Arial Narrow,Regular"Page &amp;P of &amp;N</oddFooter>
      </headerFooter>
    </customSheetView>
  </customSheetViews>
  <mergeCells count="6">
    <mergeCell ref="D26:H28"/>
    <mergeCell ref="D5:I5"/>
    <mergeCell ref="D20:F20"/>
    <mergeCell ref="D16:H16"/>
    <mergeCell ref="D17:E17"/>
    <mergeCell ref="D8:I8"/>
  </mergeCells>
  <phoneticPr fontId="0" type="noConversion"/>
  <hyperlinks>
    <hyperlink ref="K18" r:id="rId2" xr:uid="{00000000-0004-0000-1D00-000000000000}"/>
  </hyperlinks>
  <pageMargins left="0.31496062992125984" right="0.31496062992125984" top="0.35433070866141736" bottom="0.35433070866141736" header="0.11811023622047245" footer="0.11811023622047245"/>
  <pageSetup paperSize="9" orientation="portrait" r:id="rId3"/>
  <headerFoot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0B089-26BB-411A-A198-5DBA0559706F}">
  <sheetPr>
    <tabColor rgb="FFFFFF00"/>
  </sheetPr>
  <dimension ref="A1:AE403"/>
  <sheetViews>
    <sheetView showGridLines="0" view="pageBreakPreview" zoomScaleNormal="85" zoomScaleSheetLayoutView="100" workbookViewId="0">
      <pane ySplit="2" topLeftCell="A3" activePane="bottomLeft" state="frozen"/>
      <selection pane="bottomLeft" activeCell="A2" sqref="A2"/>
    </sheetView>
  </sheetViews>
  <sheetFormatPr defaultColWidth="9" defaultRowHeight="14.4" x14ac:dyDescent="0.25"/>
  <cols>
    <col min="1" max="1" width="8.09765625" style="14" customWidth="1"/>
    <col min="2" max="2" width="6" style="14" customWidth="1"/>
    <col min="3" max="3" width="1.5" style="14" customWidth="1"/>
    <col min="4" max="4" width="19.59765625" style="41" customWidth="1"/>
    <col min="5" max="5" width="9.3984375" style="14" bestFit="1" customWidth="1"/>
    <col min="6" max="6" width="7" style="14" customWidth="1"/>
    <col min="7" max="7" width="16" style="14" customWidth="1"/>
    <col min="8" max="8" width="14.09765625" style="14" customWidth="1"/>
    <col min="9" max="9" width="16.8984375" style="14" customWidth="1"/>
    <col min="10" max="16384" width="9" style="14"/>
  </cols>
  <sheetData>
    <row r="1" spans="1:31" ht="16.5" customHeight="1" x14ac:dyDescent="0.25">
      <c r="A1" s="145" t="s">
        <v>206</v>
      </c>
      <c r="B1" s="145" t="s">
        <v>207</v>
      </c>
      <c r="C1" s="81" t="str">
        <f>IF('Merge Details_Printing instr'!$B$11="Insert details here",'Merge Details_Printing instr'!$A$11,'Merge Details_Printing instr'!$B$11)</f>
        <v>Council Name</v>
      </c>
    </row>
    <row r="2" spans="1:31" s="8" customFormat="1" ht="16.5" customHeight="1" x14ac:dyDescent="0.25">
      <c r="B2" s="7"/>
      <c r="C2" s="83" t="str">
        <f>+'Merge Details_Printing instr'!A12</f>
        <v>2023-2024 Financial Report</v>
      </c>
      <c r="D2" s="7"/>
      <c r="E2" s="7"/>
      <c r="F2" s="7"/>
      <c r="G2" s="7"/>
      <c r="H2" s="7"/>
      <c r="I2" s="7"/>
    </row>
    <row r="3" spans="1:31" s="8" customFormat="1" x14ac:dyDescent="0.25">
      <c r="A3" s="76"/>
      <c r="J3" s="14"/>
      <c r="K3" s="14"/>
      <c r="L3" s="14"/>
      <c r="M3" s="14"/>
      <c r="N3" s="14"/>
      <c r="O3" s="14"/>
      <c r="P3" s="14"/>
      <c r="Q3" s="14"/>
      <c r="R3" s="14"/>
      <c r="S3" s="14"/>
      <c r="T3" s="14"/>
      <c r="U3" s="14"/>
      <c r="V3" s="14"/>
      <c r="W3" s="14"/>
      <c r="X3" s="14"/>
      <c r="Y3" s="14"/>
      <c r="Z3" s="14"/>
      <c r="AA3" s="14"/>
      <c r="AB3" s="14"/>
      <c r="AC3" s="14"/>
      <c r="AD3" s="14"/>
      <c r="AE3" s="14"/>
    </row>
    <row r="4" spans="1:31" x14ac:dyDescent="0.25">
      <c r="B4" s="145"/>
    </row>
    <row r="5" spans="1:31" ht="20.25" customHeight="1" x14ac:dyDescent="0.25">
      <c r="A5" s="145"/>
      <c r="D5" s="2098" t="s">
        <v>1325</v>
      </c>
      <c r="E5" s="2098"/>
      <c r="F5" s="2098"/>
      <c r="G5" s="2098"/>
      <c r="H5" s="2098"/>
      <c r="I5" s="2098"/>
    </row>
    <row r="6" spans="1:31" x14ac:dyDescent="0.25">
      <c r="A6" s="1837"/>
      <c r="B6" s="1837"/>
    </row>
    <row r="7" spans="1:31" x14ac:dyDescent="0.25">
      <c r="A7" s="1837"/>
      <c r="B7" s="1837"/>
      <c r="D7" s="462"/>
    </row>
    <row r="8" spans="1:31" ht="37.5" customHeight="1" x14ac:dyDescent="0.25">
      <c r="A8" s="1837" t="s">
        <v>496</v>
      </c>
      <c r="B8" s="1837" t="s">
        <v>297</v>
      </c>
      <c r="D8" s="2255" t="s">
        <v>1924</v>
      </c>
      <c r="E8" s="2255"/>
      <c r="F8" s="2255"/>
      <c r="G8" s="2255"/>
      <c r="H8" s="2255"/>
      <c r="I8" s="2255"/>
      <c r="J8" s="1376"/>
      <c r="K8" s="1376"/>
      <c r="L8" s="1376"/>
    </row>
    <row r="9" spans="1:31" x14ac:dyDescent="0.25">
      <c r="A9" s="1837"/>
      <c r="B9" s="1837"/>
      <c r="D9" s="1378" t="s">
        <v>1441</v>
      </c>
      <c r="E9" s="1376"/>
      <c r="F9" s="1376"/>
      <c r="G9" s="1376"/>
      <c r="H9" s="1376"/>
      <c r="I9" s="1376"/>
      <c r="J9" s="1376"/>
      <c r="K9" s="1376"/>
      <c r="L9" s="1376"/>
    </row>
    <row r="10" spans="1:31" x14ac:dyDescent="0.25">
      <c r="A10" s="1837"/>
      <c r="B10" s="1837"/>
      <c r="D10" s="1378" t="s">
        <v>1925</v>
      </c>
      <c r="F10" s="1839"/>
      <c r="G10" s="1839"/>
      <c r="H10" s="1839"/>
      <c r="I10" s="1839"/>
      <c r="J10" s="1839"/>
      <c r="K10" s="1839"/>
      <c r="L10" s="1839"/>
    </row>
    <row r="11" spans="1:31" x14ac:dyDescent="0.25">
      <c r="A11" s="1837"/>
      <c r="B11" s="1837"/>
      <c r="D11" s="1378"/>
      <c r="F11" s="1378"/>
      <c r="G11" s="1378"/>
      <c r="H11" s="1378"/>
      <c r="I11" s="1378"/>
      <c r="J11" s="1378"/>
      <c r="K11" s="1378"/>
      <c r="L11" s="1378"/>
    </row>
    <row r="12" spans="1:31" ht="34.5" customHeight="1" x14ac:dyDescent="0.25">
      <c r="A12" s="1837"/>
      <c r="B12" s="1837"/>
      <c r="D12" s="2255" t="str">
        <f>"I believe that, in all material respects, the financial statements present a view which is consistent with my understanding of Council's financial position as at 30 June "&amp;'Merge Details_Printing instr'!A19&amp;" and the results of its operations and cash flows for the year then ended."</f>
        <v>I believe that, in all material respects, the financial statements present a view which is consistent with my understanding of Council's financial position as at 30 June 2024 and the results of its operations and cash flows for the year then ended.</v>
      </c>
      <c r="E12" s="2255"/>
      <c r="F12" s="2255"/>
      <c r="G12" s="2255"/>
      <c r="H12" s="2255"/>
      <c r="I12" s="2255"/>
      <c r="J12" s="1376"/>
      <c r="K12" s="1376"/>
      <c r="L12" s="1376"/>
    </row>
    <row r="13" spans="1:31" x14ac:dyDescent="0.25">
      <c r="A13" s="1837"/>
      <c r="B13" s="1837"/>
      <c r="D13" s="1376"/>
      <c r="E13" s="1376"/>
      <c r="F13" s="1376"/>
      <c r="G13" s="1376"/>
      <c r="H13" s="1376"/>
      <c r="I13" s="1376"/>
      <c r="J13" s="1376"/>
      <c r="K13" s="1376"/>
      <c r="L13" s="1376"/>
    </row>
    <row r="14" spans="1:31" ht="42.75" customHeight="1" x14ac:dyDescent="0.25">
      <c r="A14" s="1837"/>
      <c r="B14" s="1837"/>
      <c r="D14" s="2255" t="s">
        <v>1231</v>
      </c>
      <c r="E14" s="2255"/>
      <c r="F14" s="2255"/>
      <c r="G14" s="2255"/>
      <c r="H14" s="2255"/>
      <c r="I14" s="2255"/>
      <c r="J14" s="1376"/>
      <c r="K14" s="1376"/>
      <c r="L14" s="1376"/>
    </row>
    <row r="15" spans="1:31" ht="16.5" customHeight="1" x14ac:dyDescent="0.25">
      <c r="A15" s="1837"/>
      <c r="B15" s="1837"/>
      <c r="D15" s="1898" t="s">
        <v>1232</v>
      </c>
      <c r="E15" s="1898"/>
      <c r="F15" s="1898"/>
      <c r="G15" s="1898"/>
      <c r="H15" s="1898"/>
      <c r="I15" s="1898"/>
      <c r="J15" s="1376"/>
      <c r="K15" s="1376"/>
      <c r="L15" s="1376"/>
    </row>
    <row r="16" spans="1:31" x14ac:dyDescent="0.25">
      <c r="A16" s="1837"/>
      <c r="B16" s="1837"/>
      <c r="D16" s="1376"/>
      <c r="E16" s="1376"/>
      <c r="F16" s="1376"/>
      <c r="G16" s="1376"/>
      <c r="H16" s="1376"/>
      <c r="I16" s="1376"/>
      <c r="J16" s="1376"/>
      <c r="K16" s="1376"/>
      <c r="L16" s="1376"/>
    </row>
    <row r="17" spans="1:11" x14ac:dyDescent="0.25">
      <c r="A17" s="1837"/>
      <c r="B17" s="1837"/>
      <c r="D17" s="1838"/>
      <c r="E17" s="1838"/>
      <c r="F17" s="1838"/>
      <c r="G17" s="1838"/>
      <c r="H17" s="1838"/>
      <c r="I17" s="1838"/>
    </row>
    <row r="18" spans="1:11" x14ac:dyDescent="0.25">
      <c r="A18" s="1837"/>
      <c r="B18" s="1837"/>
      <c r="D18" s="1838"/>
      <c r="E18" s="1838"/>
      <c r="F18" s="1838"/>
      <c r="G18" s="1838"/>
      <c r="H18" s="1838"/>
      <c r="I18" s="1838"/>
    </row>
    <row r="19" spans="1:11" x14ac:dyDescent="0.25">
      <c r="A19" s="1837"/>
      <c r="B19" s="1837"/>
      <c r="D19" s="1838"/>
      <c r="E19" s="1838"/>
      <c r="F19" s="1838"/>
      <c r="G19" s="1838"/>
      <c r="H19" s="1838"/>
      <c r="I19" s="1838"/>
    </row>
    <row r="20" spans="1:11" ht="16.5" customHeight="1" x14ac:dyDescent="0.25">
      <c r="A20" s="1837"/>
      <c r="B20" s="1837"/>
      <c r="D20" s="1838"/>
      <c r="E20" s="1838"/>
      <c r="F20" s="1838"/>
      <c r="G20" s="1838"/>
      <c r="H20" s="1838"/>
    </row>
    <row r="21" spans="1:11" x14ac:dyDescent="0.25">
      <c r="A21" s="1837"/>
      <c r="B21" s="1837"/>
      <c r="D21" s="1838"/>
      <c r="E21" s="1838"/>
      <c r="F21" s="1838"/>
      <c r="G21" s="1838"/>
      <c r="H21" s="1838"/>
    </row>
    <row r="22" spans="1:11" x14ac:dyDescent="0.25">
      <c r="A22" s="1837"/>
      <c r="B22" s="1837"/>
      <c r="D22" s="1820"/>
      <c r="E22" s="1363"/>
      <c r="F22" s="1363"/>
      <c r="G22" s="1363"/>
      <c r="H22" s="1363"/>
    </row>
    <row r="23" spans="1:11" x14ac:dyDescent="0.25">
      <c r="A23" s="1837"/>
      <c r="B23" s="1837"/>
      <c r="D23" s="2481" t="s">
        <v>1926</v>
      </c>
      <c r="E23" s="2481"/>
      <c r="F23" s="2481"/>
      <c r="G23" s="2481"/>
      <c r="H23" s="2481"/>
    </row>
    <row r="24" spans="1:11" x14ac:dyDescent="0.25">
      <c r="A24" s="1837"/>
      <c r="B24" s="1837"/>
      <c r="D24" s="2482" t="s">
        <v>1233</v>
      </c>
      <c r="E24" s="2483"/>
      <c r="F24" s="1363"/>
      <c r="G24" s="1363"/>
      <c r="H24" s="1363"/>
      <c r="K24" s="312" t="s">
        <v>1686</v>
      </c>
    </row>
    <row r="25" spans="1:11" x14ac:dyDescent="0.25">
      <c r="A25" s="1837"/>
      <c r="B25" s="1837"/>
      <c r="D25" s="1820"/>
      <c r="E25" s="1363"/>
      <c r="F25" s="1363"/>
      <c r="G25" s="1363"/>
      <c r="H25" s="1363"/>
      <c r="K25" s="724" t="s">
        <v>1685</v>
      </c>
    </row>
    <row r="26" spans="1:11" x14ac:dyDescent="0.25">
      <c r="A26" s="1837"/>
      <c r="B26" s="1837"/>
      <c r="D26" s="1820" t="s">
        <v>472</v>
      </c>
      <c r="E26" s="1821" t="s">
        <v>1933</v>
      </c>
      <c r="F26" s="1363"/>
      <c r="G26" s="1822" t="s">
        <v>1931</v>
      </c>
      <c r="H26" s="1363"/>
      <c r="J26" s="484"/>
    </row>
    <row r="27" spans="1:11" x14ac:dyDescent="0.25">
      <c r="A27" s="1837"/>
      <c r="B27" s="1837"/>
      <c r="D27" s="2478"/>
      <c r="E27" s="2479"/>
      <c r="F27" s="2480"/>
      <c r="G27" s="1363"/>
      <c r="H27" s="1363"/>
      <c r="I27" s="1363"/>
    </row>
    <row r="28" spans="1:11" x14ac:dyDescent="0.25">
      <c r="A28" s="1837"/>
      <c r="B28" s="1837"/>
      <c r="D28" s="1840"/>
      <c r="E28" s="1841"/>
      <c r="F28" s="1842"/>
      <c r="G28" s="1363"/>
      <c r="H28" s="1363"/>
      <c r="I28" s="1363"/>
    </row>
    <row r="29" spans="1:11" x14ac:dyDescent="0.25">
      <c r="A29" s="1837"/>
      <c r="B29" s="1837"/>
      <c r="D29" s="1840"/>
      <c r="E29" s="1841"/>
      <c r="F29" s="1842"/>
      <c r="G29" s="1363"/>
      <c r="H29" s="1363"/>
      <c r="I29" s="1363"/>
    </row>
    <row r="30" spans="1:11" x14ac:dyDescent="0.25">
      <c r="A30" s="1837"/>
      <c r="B30" s="1837"/>
      <c r="D30" s="1840"/>
      <c r="E30" s="1841"/>
      <c r="F30" s="1842"/>
      <c r="G30" s="1363"/>
      <c r="H30" s="1363"/>
      <c r="I30" s="1363"/>
    </row>
    <row r="31" spans="1:11" x14ac:dyDescent="0.25">
      <c r="A31" s="1837"/>
      <c r="B31" s="1837"/>
      <c r="D31" s="1840"/>
      <c r="E31" s="1841"/>
      <c r="F31" s="1842"/>
      <c r="G31" s="1363"/>
      <c r="H31" s="1363"/>
      <c r="I31" s="1363"/>
    </row>
    <row r="32" spans="1:11" ht="79.5" customHeight="1" x14ac:dyDescent="0.25">
      <c r="A32" s="1837"/>
      <c r="B32" s="1837"/>
      <c r="D32" s="2469" t="s">
        <v>2074</v>
      </c>
      <c r="E32" s="2470"/>
      <c r="F32" s="2470"/>
      <c r="G32" s="2470"/>
      <c r="H32" s="2471"/>
      <c r="I32" s="1363"/>
    </row>
    <row r="33" spans="1:9" x14ac:dyDescent="0.25">
      <c r="A33" s="1837"/>
      <c r="B33" s="1837"/>
      <c r="D33" s="2472"/>
      <c r="E33" s="2473"/>
      <c r="F33" s="2473"/>
      <c r="G33" s="2473"/>
      <c r="H33" s="2474"/>
      <c r="I33" s="1363"/>
    </row>
    <row r="34" spans="1:9" x14ac:dyDescent="0.25">
      <c r="A34" s="1837"/>
      <c r="B34" s="1837"/>
      <c r="D34" s="2475"/>
      <c r="E34" s="2476"/>
      <c r="F34" s="2476"/>
      <c r="G34" s="2476"/>
      <c r="H34" s="2477"/>
      <c r="I34" s="1363"/>
    </row>
    <row r="35" spans="1:9" x14ac:dyDescent="0.25">
      <c r="A35" s="1837"/>
      <c r="B35" s="1837"/>
      <c r="D35" s="1895"/>
      <c r="E35" s="1895"/>
      <c r="F35" s="1895"/>
      <c r="G35" s="1895"/>
      <c r="H35" s="1363"/>
      <c r="I35" s="1363"/>
    </row>
    <row r="36" spans="1:9" x14ac:dyDescent="0.25">
      <c r="A36" s="1837"/>
      <c r="B36" s="1837"/>
      <c r="D36" s="1896"/>
      <c r="E36" s="1897"/>
      <c r="F36" s="1896"/>
      <c r="G36" s="1896"/>
      <c r="H36" s="1363"/>
      <c r="I36" s="1363"/>
    </row>
    <row r="37" spans="1:9" x14ac:dyDescent="0.25">
      <c r="A37" s="1837"/>
      <c r="B37" s="1837"/>
      <c r="D37" s="14"/>
      <c r="H37" s="1363"/>
      <c r="I37" s="1363"/>
    </row>
    <row r="38" spans="1:9" ht="16.5" customHeight="1" x14ac:dyDescent="0.25">
      <c r="A38" s="1837"/>
      <c r="B38" s="1837"/>
      <c r="D38" s="14"/>
      <c r="H38" s="1363"/>
      <c r="I38" s="1363"/>
    </row>
    <row r="39" spans="1:9" x14ac:dyDescent="0.25">
      <c r="D39" s="14"/>
    </row>
    <row r="40" spans="1:9" ht="33.75" customHeight="1" x14ac:dyDescent="0.25">
      <c r="D40" s="14"/>
    </row>
    <row r="41" spans="1:9" x14ac:dyDescent="0.25">
      <c r="D41" s="14"/>
    </row>
    <row r="42" spans="1:9" ht="33" customHeight="1" x14ac:dyDescent="0.25">
      <c r="D42" s="14"/>
    </row>
    <row r="43" spans="1:9" x14ac:dyDescent="0.25">
      <c r="D43" s="14"/>
    </row>
    <row r="44" spans="1:9" x14ac:dyDescent="0.25">
      <c r="D44" s="14"/>
    </row>
    <row r="45" spans="1:9" x14ac:dyDescent="0.25">
      <c r="D45" s="14"/>
    </row>
    <row r="46" spans="1:9" x14ac:dyDescent="0.25">
      <c r="D46" s="14"/>
    </row>
    <row r="47" spans="1:9" x14ac:dyDescent="0.25">
      <c r="D47" s="14"/>
    </row>
    <row r="48" spans="1:9" x14ac:dyDescent="0.25">
      <c r="D48" s="14"/>
    </row>
    <row r="49" spans="4:4" x14ac:dyDescent="0.25">
      <c r="D49" s="14"/>
    </row>
    <row r="50" spans="4:4" x14ac:dyDescent="0.25">
      <c r="D50" s="14"/>
    </row>
    <row r="51" spans="4:4" x14ac:dyDescent="0.25">
      <c r="D51" s="14"/>
    </row>
    <row r="52" spans="4:4" x14ac:dyDescent="0.25">
      <c r="D52" s="14"/>
    </row>
    <row r="53" spans="4:4" x14ac:dyDescent="0.25">
      <c r="D53" s="14"/>
    </row>
    <row r="54" spans="4:4" x14ac:dyDescent="0.25">
      <c r="D54" s="14"/>
    </row>
    <row r="55" spans="4:4" x14ac:dyDescent="0.25">
      <c r="D55" s="14"/>
    </row>
    <row r="56" spans="4:4" x14ac:dyDescent="0.25">
      <c r="D56" s="14"/>
    </row>
    <row r="57" spans="4:4" x14ac:dyDescent="0.25">
      <c r="D57" s="14"/>
    </row>
    <row r="58" spans="4:4" x14ac:dyDescent="0.25">
      <c r="D58" s="14"/>
    </row>
    <row r="59" spans="4:4" x14ac:dyDescent="0.25">
      <c r="D59" s="14"/>
    </row>
    <row r="60" spans="4:4" x14ac:dyDescent="0.25">
      <c r="D60" s="14"/>
    </row>
    <row r="61" spans="4:4" x14ac:dyDescent="0.25">
      <c r="D61" s="14"/>
    </row>
    <row r="62" spans="4:4" x14ac:dyDescent="0.25">
      <c r="D62" s="14"/>
    </row>
    <row r="63" spans="4:4" x14ac:dyDescent="0.25">
      <c r="D63" s="14"/>
    </row>
    <row r="64" spans="4:4" x14ac:dyDescent="0.25">
      <c r="D64" s="14"/>
    </row>
    <row r="65" spans="1:4" x14ac:dyDescent="0.25">
      <c r="D65" s="14"/>
    </row>
    <row r="66" spans="1:4" ht="16.5" customHeight="1" x14ac:dyDescent="0.25">
      <c r="D66" s="14"/>
    </row>
    <row r="67" spans="1:4" x14ac:dyDescent="0.25">
      <c r="D67" s="14"/>
    </row>
    <row r="68" spans="1:4" x14ac:dyDescent="0.25">
      <c r="D68" s="14"/>
    </row>
    <row r="69" spans="1:4" x14ac:dyDescent="0.25">
      <c r="D69" s="14"/>
    </row>
    <row r="70" spans="1:4" x14ac:dyDescent="0.25">
      <c r="D70" s="14"/>
    </row>
    <row r="71" spans="1:4" x14ac:dyDescent="0.25">
      <c r="A71" s="16"/>
      <c r="B71" s="16"/>
    </row>
    <row r="72" spans="1:4" x14ac:dyDescent="0.25">
      <c r="A72" s="16"/>
      <c r="B72" s="16"/>
    </row>
    <row r="73" spans="1:4" x14ac:dyDescent="0.25">
      <c r="A73" s="16"/>
      <c r="B73" s="16"/>
    </row>
    <row r="74" spans="1:4" x14ac:dyDescent="0.25">
      <c r="A74" s="16"/>
      <c r="B74" s="16"/>
    </row>
    <row r="75" spans="1:4" x14ac:dyDescent="0.25">
      <c r="A75" s="16"/>
      <c r="B75" s="16"/>
    </row>
    <row r="127" spans="8:8" x14ac:dyDescent="0.25">
      <c r="H127" s="14">
        <f>H126-H125</f>
        <v>0</v>
      </c>
    </row>
    <row r="403" ht="11.25" customHeight="1" x14ac:dyDescent="0.25"/>
  </sheetData>
  <mergeCells count="8">
    <mergeCell ref="D32:H34"/>
    <mergeCell ref="D12:I12"/>
    <mergeCell ref="D14:I14"/>
    <mergeCell ref="D5:I5"/>
    <mergeCell ref="D8:I8"/>
    <mergeCell ref="D23:H23"/>
    <mergeCell ref="D24:E24"/>
    <mergeCell ref="D27:F27"/>
  </mergeCells>
  <hyperlinks>
    <hyperlink ref="K25" r:id="rId1" xr:uid="{595DE336-F6D3-481B-B76B-DFDEA2D251AC}"/>
  </hyperlinks>
  <pageMargins left="0.31496062992125984" right="0.31496062992125984" top="0.35433070866141736" bottom="0.35433070866141736" header="0.11811023622047245" footer="0.11811023622047245"/>
  <pageSetup paperSize="9" orientation="portrait" r:id="rId2"/>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N76"/>
  <sheetViews>
    <sheetView tabSelected="1" view="pageBreakPreview" zoomScaleNormal="115" zoomScaleSheetLayoutView="100" workbookViewId="0">
      <selection activeCell="B1" sqref="B1:D1"/>
    </sheetView>
  </sheetViews>
  <sheetFormatPr defaultColWidth="9" defaultRowHeight="13.8" x14ac:dyDescent="0.25"/>
  <cols>
    <col min="1" max="1" width="1.09765625" style="268" customWidth="1"/>
    <col min="2" max="2" width="17.09765625" style="268" customWidth="1"/>
    <col min="3" max="3" width="10.3984375" style="268" customWidth="1"/>
    <col min="4" max="4" width="79.8984375" style="268" customWidth="1"/>
    <col min="5" max="9" width="9" style="268"/>
    <col min="10" max="10" width="14.69921875" style="268" customWidth="1"/>
    <col min="11" max="16384" width="9" style="268"/>
  </cols>
  <sheetData>
    <row r="1" spans="2:7" ht="27.75" customHeight="1" x14ac:dyDescent="0.25">
      <c r="B1" s="2072" t="s">
        <v>1605</v>
      </c>
      <c r="C1" s="2072"/>
      <c r="D1" s="2072"/>
    </row>
    <row r="3" spans="2:7" ht="16.5" customHeight="1" x14ac:dyDescent="0.25">
      <c r="B3" s="292" t="s">
        <v>1391</v>
      </c>
      <c r="C3" s="314"/>
      <c r="D3" s="314"/>
      <c r="E3" s="487"/>
      <c r="F3" s="487"/>
      <c r="G3" s="487"/>
    </row>
    <row r="4" spans="2:7" ht="26.25" customHeight="1" x14ac:dyDescent="0.25">
      <c r="B4" s="2073" t="s">
        <v>1759</v>
      </c>
      <c r="C4" s="2073"/>
      <c r="D4" s="2073"/>
      <c r="E4" s="487"/>
      <c r="F4" s="487"/>
      <c r="G4" s="487"/>
    </row>
    <row r="5" spans="2:7" ht="9.75" customHeight="1" x14ac:dyDescent="0.25">
      <c r="B5" s="314"/>
      <c r="C5" s="314"/>
      <c r="D5" s="314"/>
      <c r="E5" s="487"/>
      <c r="F5" s="487"/>
      <c r="G5" s="487"/>
    </row>
    <row r="6" spans="2:7" x14ac:dyDescent="0.25">
      <c r="B6" s="292" t="s">
        <v>1326</v>
      </c>
      <c r="C6" s="416"/>
      <c r="E6" s="487"/>
      <c r="F6" s="487"/>
      <c r="G6" s="487"/>
    </row>
    <row r="7" spans="2:7" ht="99" customHeight="1" x14ac:dyDescent="0.25">
      <c r="B7" s="440" t="s">
        <v>1329</v>
      </c>
      <c r="C7" s="551"/>
      <c r="D7" s="2040" t="s">
        <v>2060</v>
      </c>
      <c r="E7" s="735"/>
      <c r="F7" s="487"/>
      <c r="G7" s="487"/>
    </row>
    <row r="8" spans="2:7" ht="7.5" customHeight="1" x14ac:dyDescent="0.25">
      <c r="B8" s="551"/>
      <c r="C8" s="551"/>
      <c r="D8" s="551"/>
      <c r="E8" s="487"/>
      <c r="F8" s="487"/>
      <c r="G8" s="487"/>
    </row>
    <row r="9" spans="2:7" ht="41.4" x14ac:dyDescent="0.25">
      <c r="B9" s="555" t="s">
        <v>1330</v>
      </c>
      <c r="C9" s="439"/>
      <c r="D9" s="116" t="s">
        <v>1392</v>
      </c>
      <c r="E9" s="487"/>
      <c r="F9" s="487"/>
      <c r="G9" s="487"/>
    </row>
    <row r="10" spans="2:7" ht="7.5" customHeight="1" x14ac:dyDescent="0.25">
      <c r="B10" s="551"/>
      <c r="C10" s="551"/>
      <c r="D10" s="551"/>
      <c r="E10" s="487"/>
      <c r="F10" s="487"/>
      <c r="G10" s="487"/>
    </row>
    <row r="11" spans="2:7" x14ac:dyDescent="0.25">
      <c r="B11" s="553" t="s">
        <v>1328</v>
      </c>
      <c r="C11" s="554"/>
      <c r="D11" s="2041" t="s">
        <v>2061</v>
      </c>
      <c r="E11" s="487"/>
      <c r="F11" s="487"/>
      <c r="G11" s="487"/>
    </row>
    <row r="12" spans="2:7" ht="7.5" customHeight="1" thickBot="1" x14ac:dyDescent="0.3"/>
    <row r="13" spans="2:7" ht="16.5" customHeight="1" thickTop="1" thickBot="1" x14ac:dyDescent="0.3">
      <c r="B13" s="763" t="s">
        <v>1718</v>
      </c>
      <c r="C13" s="764"/>
      <c r="D13" s="116" t="s">
        <v>2062</v>
      </c>
    </row>
    <row r="14" spans="2:7" ht="7.5" customHeight="1" thickTop="1" x14ac:dyDescent="0.25">
      <c r="G14" s="314"/>
    </row>
    <row r="15" spans="2:7" ht="48" customHeight="1" x14ac:dyDescent="0.25">
      <c r="B15" s="2074" t="s">
        <v>2103</v>
      </c>
      <c r="C15" s="2074"/>
      <c r="D15" s="2074"/>
    </row>
    <row r="16" spans="2:7" ht="9.75" customHeight="1" x14ac:dyDescent="0.25">
      <c r="G16" s="314"/>
    </row>
    <row r="17" spans="1:10" ht="14.4" x14ac:dyDescent="0.25">
      <c r="B17" s="292" t="s">
        <v>73</v>
      </c>
      <c r="I17" s="520"/>
    </row>
    <row r="18" spans="1:10" ht="81" customHeight="1" x14ac:dyDescent="0.25">
      <c r="A18" s="292"/>
      <c r="D18" s="2042" t="s">
        <v>2069</v>
      </c>
      <c r="E18" s="2070"/>
      <c r="F18" s="2070"/>
      <c r="G18" s="2070"/>
      <c r="H18" s="2070"/>
      <c r="I18" s="520"/>
      <c r="J18" s="1983"/>
    </row>
    <row r="19" spans="1:10" ht="9" customHeight="1" x14ac:dyDescent="0.25">
      <c r="A19" s="292"/>
      <c r="I19" s="520"/>
    </row>
    <row r="20" spans="1:10" ht="14.4" x14ac:dyDescent="0.25">
      <c r="A20" s="292"/>
      <c r="B20" s="574" t="s">
        <v>1239</v>
      </c>
      <c r="I20" s="520"/>
    </row>
    <row r="21" spans="1:10" ht="14.4" x14ac:dyDescent="0.3">
      <c r="A21" s="292"/>
      <c r="B21" s="220"/>
      <c r="C21" s="220"/>
      <c r="D21" s="603" t="s">
        <v>1669</v>
      </c>
      <c r="I21" s="520"/>
    </row>
    <row r="22" spans="1:10" ht="9" customHeight="1" x14ac:dyDescent="0.3">
      <c r="A22" s="292"/>
      <c r="B22" s="220"/>
      <c r="C22" s="220"/>
      <c r="D22" s="136"/>
      <c r="I22" s="520"/>
    </row>
    <row r="23" spans="1:10" ht="14.4" x14ac:dyDescent="0.3">
      <c r="A23" s="292"/>
      <c r="B23" s="574" t="s">
        <v>61</v>
      </c>
      <c r="C23" s="220"/>
      <c r="D23" s="136"/>
      <c r="I23" s="520"/>
    </row>
    <row r="24" spans="1:10" ht="14.4" x14ac:dyDescent="0.3">
      <c r="A24" s="292"/>
      <c r="B24" s="574"/>
      <c r="C24" s="220"/>
      <c r="D24" s="603" t="s">
        <v>1669</v>
      </c>
      <c r="I24" s="520"/>
    </row>
    <row r="25" spans="1:10" ht="9" customHeight="1" x14ac:dyDescent="0.3">
      <c r="A25" s="292"/>
      <c r="B25" s="220"/>
      <c r="C25" s="220"/>
      <c r="D25" s="136"/>
      <c r="I25" s="520"/>
    </row>
    <row r="26" spans="1:10" ht="14.4" x14ac:dyDescent="0.25">
      <c r="B26" s="574" t="s">
        <v>208</v>
      </c>
      <c r="D26" s="568"/>
      <c r="I26" s="520"/>
    </row>
    <row r="27" spans="1:10" ht="14.4" x14ac:dyDescent="0.3">
      <c r="B27" s="604"/>
      <c r="C27" s="220"/>
      <c r="D27" s="603" t="s">
        <v>1669</v>
      </c>
      <c r="I27" s="520"/>
    </row>
    <row r="28" spans="1:10" ht="9" customHeight="1" x14ac:dyDescent="0.3">
      <c r="B28" s="604"/>
      <c r="C28" s="220"/>
      <c r="D28" s="603"/>
      <c r="I28" s="520"/>
    </row>
    <row r="29" spans="1:10" ht="14.4" x14ac:dyDescent="0.3">
      <c r="B29" s="574" t="s">
        <v>1503</v>
      </c>
      <c r="C29" s="220"/>
      <c r="I29" s="520"/>
    </row>
    <row r="30" spans="1:10" ht="14.4" x14ac:dyDescent="0.3">
      <c r="B30" s="574"/>
      <c r="C30" s="136"/>
      <c r="D30" s="1959" t="s">
        <v>1669</v>
      </c>
      <c r="E30" s="1978"/>
      <c r="I30" s="520"/>
    </row>
    <row r="31" spans="1:10" ht="9" customHeight="1" x14ac:dyDescent="0.3">
      <c r="B31" s="604"/>
      <c r="C31" s="136"/>
      <c r="D31" s="603"/>
      <c r="I31" s="520"/>
    </row>
    <row r="32" spans="1:10" x14ac:dyDescent="0.25">
      <c r="B32" s="292" t="s">
        <v>785</v>
      </c>
      <c r="C32" s="711"/>
      <c r="D32" s="711"/>
    </row>
    <row r="33" spans="1:14" ht="14.4" x14ac:dyDescent="0.3">
      <c r="C33" s="711"/>
      <c r="D33" s="136" t="s">
        <v>1228</v>
      </c>
    </row>
    <row r="34" spans="1:14" ht="14.4" x14ac:dyDescent="0.3">
      <c r="A34" s="292"/>
      <c r="B34" s="574" t="s">
        <v>70</v>
      </c>
      <c r="C34" s="711"/>
      <c r="D34" s="136" t="s">
        <v>1603</v>
      </c>
      <c r="F34" s="136"/>
    </row>
    <row r="35" spans="1:14" x14ac:dyDescent="0.25">
      <c r="A35" s="292"/>
      <c r="B35" s="574"/>
      <c r="C35" s="711"/>
      <c r="D35" s="711"/>
    </row>
    <row r="36" spans="1:14" x14ac:dyDescent="0.25">
      <c r="B36" s="657" t="s">
        <v>1219</v>
      </c>
      <c r="C36" s="767" t="s">
        <v>286</v>
      </c>
      <c r="D36" s="768" t="s">
        <v>1227</v>
      </c>
    </row>
    <row r="37" spans="1:14" x14ac:dyDescent="0.25">
      <c r="B37" s="709"/>
      <c r="C37" s="1981"/>
      <c r="D37" s="1982"/>
    </row>
    <row r="38" spans="1:14" ht="56.25" customHeight="1" x14ac:dyDescent="0.25">
      <c r="B38" s="766" t="s">
        <v>209</v>
      </c>
      <c r="C38" s="2009">
        <v>1.2</v>
      </c>
      <c r="D38" s="1980" t="s">
        <v>2041</v>
      </c>
    </row>
    <row r="39" spans="1:14" s="1977" customFormat="1" ht="51.75" customHeight="1" x14ac:dyDescent="0.25">
      <c r="B39" s="766" t="s">
        <v>1668</v>
      </c>
      <c r="C39" s="2010">
        <v>2.2000000000000002</v>
      </c>
      <c r="D39" s="1980" t="s">
        <v>2070</v>
      </c>
      <c r="E39" s="1978"/>
    </row>
    <row r="40" spans="1:14" s="1977" customFormat="1" ht="58.5" customHeight="1" x14ac:dyDescent="0.25">
      <c r="B40" s="766"/>
      <c r="C40" s="2010">
        <v>2.2999999999999998</v>
      </c>
      <c r="D40" s="1980" t="s">
        <v>2042</v>
      </c>
      <c r="E40" s="1978"/>
    </row>
    <row r="41" spans="1:14" s="1977" customFormat="1" ht="29.25" customHeight="1" x14ac:dyDescent="0.25">
      <c r="B41" s="766"/>
      <c r="C41" s="2010">
        <v>2.4</v>
      </c>
      <c r="D41" s="1980" t="s">
        <v>2011</v>
      </c>
      <c r="E41" s="1978"/>
    </row>
    <row r="42" spans="1:14" s="1977" customFormat="1" ht="27.6" x14ac:dyDescent="0.25">
      <c r="B42" s="766"/>
      <c r="C42" s="2010">
        <v>2.7</v>
      </c>
      <c r="D42" s="1992" t="s">
        <v>2044</v>
      </c>
      <c r="E42" s="1978"/>
    </row>
    <row r="43" spans="1:14" s="1977" customFormat="1" ht="55.2" x14ac:dyDescent="0.25">
      <c r="B43" s="2045"/>
      <c r="C43" s="2046">
        <v>3.5</v>
      </c>
      <c r="D43" s="2036" t="s">
        <v>2101</v>
      </c>
      <c r="E43" s="1978"/>
    </row>
    <row r="44" spans="1:14" ht="27.6" x14ac:dyDescent="0.25">
      <c r="B44" s="766" t="s">
        <v>1817</v>
      </c>
      <c r="C44" s="567">
        <v>6.1</v>
      </c>
      <c r="D44" s="603" t="s">
        <v>2046</v>
      </c>
      <c r="E44" s="573"/>
      <c r="F44" s="487"/>
      <c r="G44" s="487"/>
      <c r="H44" s="487"/>
      <c r="I44" s="487"/>
      <c r="J44" s="487"/>
      <c r="K44" s="487"/>
      <c r="L44" s="487"/>
      <c r="M44" s="487"/>
      <c r="N44" s="487"/>
    </row>
    <row r="45" spans="1:14" x14ac:dyDescent="0.25">
      <c r="B45" s="766"/>
      <c r="C45" s="567"/>
      <c r="D45" s="1959" t="s">
        <v>1978</v>
      </c>
      <c r="E45" s="573"/>
      <c r="F45" s="487"/>
      <c r="G45" s="487"/>
      <c r="H45" s="487"/>
      <c r="I45" s="487"/>
      <c r="J45" s="487"/>
      <c r="K45" s="487"/>
      <c r="L45" s="487"/>
      <c r="M45" s="487"/>
      <c r="N45" s="487"/>
    </row>
    <row r="46" spans="1:14" ht="14.4" x14ac:dyDescent="0.25">
      <c r="B46" s="766" t="s">
        <v>1502</v>
      </c>
      <c r="C46" s="567">
        <v>6.4</v>
      </c>
      <c r="D46" s="603" t="s">
        <v>2047</v>
      </c>
      <c r="E46" s="573"/>
      <c r="F46" s="487"/>
      <c r="G46" s="487"/>
      <c r="H46" s="762"/>
      <c r="I46" s="487"/>
      <c r="J46" s="487"/>
      <c r="K46" s="487"/>
      <c r="L46" s="487"/>
      <c r="M46" s="487"/>
      <c r="N46" s="487"/>
    </row>
    <row r="47" spans="1:14" ht="14.4" x14ac:dyDescent="0.25">
      <c r="B47" s="766"/>
      <c r="C47" s="567" t="s">
        <v>1979</v>
      </c>
      <c r="D47" s="1980" t="s">
        <v>2071</v>
      </c>
      <c r="E47" s="1978"/>
      <c r="F47" s="487"/>
      <c r="G47" s="487"/>
      <c r="H47" s="762"/>
      <c r="I47" s="487"/>
      <c r="J47" s="487"/>
      <c r="K47" s="487"/>
      <c r="L47" s="487"/>
      <c r="M47" s="487"/>
      <c r="N47" s="487"/>
    </row>
    <row r="48" spans="1:14" x14ac:dyDescent="0.25">
      <c r="A48" s="711"/>
      <c r="B48" s="766" t="s">
        <v>471</v>
      </c>
      <c r="C48" s="567" t="s">
        <v>1980</v>
      </c>
      <c r="D48" s="603" t="s">
        <v>1981</v>
      </c>
      <c r="E48" s="573"/>
      <c r="F48" s="487"/>
      <c r="G48" s="487"/>
      <c r="H48" s="487"/>
      <c r="I48" s="487"/>
      <c r="J48" s="487"/>
      <c r="K48" s="487"/>
      <c r="L48" s="487"/>
      <c r="M48" s="487"/>
      <c r="N48" s="487"/>
    </row>
    <row r="49" spans="1:14" x14ac:dyDescent="0.25">
      <c r="A49" s="711"/>
      <c r="B49" s="766"/>
      <c r="C49" s="567">
        <v>9.3000000000000007</v>
      </c>
      <c r="D49" s="1959" t="s">
        <v>1982</v>
      </c>
      <c r="E49" s="573"/>
      <c r="F49" s="487"/>
      <c r="G49" s="487"/>
      <c r="H49" s="487"/>
      <c r="I49" s="487"/>
      <c r="J49" s="487"/>
      <c r="K49" s="487"/>
      <c r="L49" s="487"/>
      <c r="M49" s="487"/>
      <c r="N49" s="487"/>
    </row>
    <row r="50" spans="1:14" ht="41.4" x14ac:dyDescent="0.25">
      <c r="A50" s="765"/>
      <c r="B50" s="2045"/>
      <c r="C50" s="2049">
        <v>9.6999999999999993</v>
      </c>
      <c r="D50" s="2043" t="s">
        <v>2098</v>
      </c>
      <c r="E50" s="573"/>
      <c r="F50" s="487"/>
      <c r="G50" s="487"/>
      <c r="H50" s="487"/>
      <c r="I50" s="487"/>
      <c r="J50" s="487"/>
      <c r="K50" s="487"/>
      <c r="L50" s="487"/>
      <c r="M50" s="487"/>
      <c r="N50" s="487"/>
    </row>
    <row r="51" spans="1:14" x14ac:dyDescent="0.25">
      <c r="A51" s="711"/>
      <c r="B51" s="766"/>
      <c r="C51" s="567">
        <v>9.8000000000000007</v>
      </c>
      <c r="D51" s="1959" t="s">
        <v>1983</v>
      </c>
      <c r="E51" s="573"/>
      <c r="F51" s="487"/>
      <c r="G51" s="487"/>
      <c r="H51" s="487"/>
      <c r="I51" s="487"/>
      <c r="J51" s="487"/>
      <c r="K51" s="487"/>
      <c r="L51" s="487"/>
      <c r="M51" s="487"/>
      <c r="N51" s="487"/>
    </row>
    <row r="52" spans="1:14" ht="27.6" x14ac:dyDescent="0.25">
      <c r="A52" s="711"/>
      <c r="B52" s="766" t="s">
        <v>1987</v>
      </c>
      <c r="C52" s="567" t="s">
        <v>1984</v>
      </c>
      <c r="D52" s="1959" t="s">
        <v>1985</v>
      </c>
      <c r="E52" s="573"/>
      <c r="F52" s="487"/>
      <c r="G52" s="487"/>
      <c r="H52" s="487"/>
      <c r="I52" s="487"/>
      <c r="J52" s="487"/>
      <c r="K52" s="487"/>
      <c r="L52" s="487"/>
      <c r="M52" s="487"/>
      <c r="N52" s="487"/>
    </row>
    <row r="53" spans="1:14" ht="30" customHeight="1" x14ac:dyDescent="0.25">
      <c r="A53" s="711"/>
      <c r="B53" s="766" t="s">
        <v>1986</v>
      </c>
      <c r="C53" s="1962" t="s">
        <v>1988</v>
      </c>
      <c r="D53" s="1959" t="s">
        <v>1989</v>
      </c>
      <c r="E53" s="573"/>
      <c r="F53" s="487"/>
      <c r="G53" s="487"/>
      <c r="H53" s="487"/>
      <c r="I53" s="487"/>
      <c r="J53" s="487"/>
      <c r="K53" s="487"/>
      <c r="L53" s="487"/>
      <c r="M53" s="487"/>
      <c r="N53" s="487"/>
    </row>
    <row r="54" spans="1:14" ht="41.4" x14ac:dyDescent="0.3">
      <c r="B54" s="766" t="s">
        <v>1737</v>
      </c>
      <c r="C54" s="567" t="s">
        <v>1738</v>
      </c>
      <c r="D54" s="712" t="s">
        <v>2072</v>
      </c>
      <c r="E54" s="573"/>
      <c r="F54" s="487"/>
      <c r="G54" s="487"/>
      <c r="H54" s="487"/>
      <c r="I54" s="487"/>
      <c r="J54" s="487"/>
      <c r="K54" s="487"/>
      <c r="L54" s="487"/>
      <c r="M54" s="487"/>
      <c r="N54" s="487"/>
    </row>
    <row r="55" spans="1:14" s="1972" customFormat="1" ht="27.6" x14ac:dyDescent="0.3">
      <c r="B55" s="2045"/>
      <c r="C55" s="2049"/>
      <c r="D55" s="2050" t="s">
        <v>2080</v>
      </c>
      <c r="E55" s="2051"/>
      <c r="F55" s="2052"/>
      <c r="G55" s="2052"/>
      <c r="H55" s="2052"/>
      <c r="I55" s="2052"/>
      <c r="J55" s="2052"/>
      <c r="K55" s="2052"/>
      <c r="L55" s="2052"/>
      <c r="M55" s="2052"/>
      <c r="N55" s="2052"/>
    </row>
    <row r="56" spans="1:14" ht="27.6" x14ac:dyDescent="0.3">
      <c r="B56" s="766" t="s">
        <v>1990</v>
      </c>
      <c r="C56" s="567" t="s">
        <v>1991</v>
      </c>
      <c r="D56" s="712" t="s">
        <v>2073</v>
      </c>
      <c r="E56" s="573"/>
      <c r="F56" s="487"/>
      <c r="G56" s="487"/>
      <c r="H56" s="487"/>
      <c r="I56" s="487"/>
      <c r="J56" s="487"/>
      <c r="K56" s="487"/>
      <c r="L56" s="487"/>
      <c r="M56" s="487"/>
      <c r="N56" s="487"/>
    </row>
    <row r="57" spans="1:14" ht="27.6" x14ac:dyDescent="0.25">
      <c r="B57" s="1967" t="s">
        <v>1992</v>
      </c>
      <c r="C57" s="567" t="s">
        <v>1991</v>
      </c>
      <c r="D57" s="1959" t="s">
        <v>1993</v>
      </c>
      <c r="E57" s="573"/>
      <c r="F57" s="487"/>
      <c r="G57" s="487"/>
      <c r="H57" s="487"/>
      <c r="I57" s="487"/>
      <c r="J57" s="487"/>
      <c r="K57" s="487"/>
      <c r="L57" s="487"/>
      <c r="M57" s="487"/>
      <c r="N57" s="487"/>
    </row>
    <row r="58" spans="1:14" x14ac:dyDescent="0.25">
      <c r="B58" s="1967"/>
      <c r="C58" s="567"/>
      <c r="D58" s="1959"/>
      <c r="E58" s="573"/>
      <c r="F58" s="487"/>
      <c r="G58" s="487"/>
      <c r="H58" s="487"/>
      <c r="I58" s="487"/>
      <c r="J58" s="487"/>
      <c r="K58" s="487"/>
      <c r="L58" s="487"/>
      <c r="M58" s="487"/>
      <c r="N58" s="487"/>
    </row>
    <row r="59" spans="1:14" ht="14.4" x14ac:dyDescent="0.3">
      <c r="B59" s="766" t="s">
        <v>1327</v>
      </c>
      <c r="C59" s="713" t="s">
        <v>1748</v>
      </c>
      <c r="D59" s="750" t="s">
        <v>1289</v>
      </c>
      <c r="E59" s="573"/>
      <c r="F59" s="487"/>
      <c r="G59" s="487"/>
      <c r="H59" s="487"/>
      <c r="I59" s="487"/>
      <c r="J59" s="487"/>
      <c r="K59" s="487"/>
      <c r="L59" s="487"/>
      <c r="M59" s="487"/>
      <c r="N59" s="487"/>
    </row>
    <row r="60" spans="1:14" ht="14.4" x14ac:dyDescent="0.3">
      <c r="B60" s="566"/>
      <c r="C60" s="713"/>
      <c r="D60" s="712" t="s">
        <v>1749</v>
      </c>
      <c r="E60" s="573"/>
      <c r="F60" s="487"/>
      <c r="G60" s="487"/>
      <c r="H60" s="487"/>
      <c r="I60" s="487"/>
      <c r="J60" s="487"/>
      <c r="K60" s="487"/>
      <c r="L60" s="487"/>
      <c r="M60" s="487"/>
      <c r="N60" s="487"/>
    </row>
    <row r="61" spans="1:14" ht="27.6" x14ac:dyDescent="0.3">
      <c r="B61" s="566"/>
      <c r="C61" s="773" t="s">
        <v>1995</v>
      </c>
      <c r="D61" s="712" t="s">
        <v>1828</v>
      </c>
      <c r="E61" s="573"/>
      <c r="F61" s="487"/>
      <c r="G61" s="487"/>
      <c r="H61" s="487"/>
      <c r="I61" s="487"/>
      <c r="J61" s="487"/>
      <c r="K61" s="487"/>
      <c r="L61" s="487"/>
      <c r="M61" s="487"/>
      <c r="N61" s="487"/>
    </row>
    <row r="62" spans="1:14" ht="55.2" x14ac:dyDescent="0.3">
      <c r="B62" s="566"/>
      <c r="C62" s="773" t="s">
        <v>1996</v>
      </c>
      <c r="D62" s="712" t="s">
        <v>2029</v>
      </c>
      <c r="E62" s="1978"/>
      <c r="F62" s="487"/>
      <c r="G62" s="487"/>
      <c r="H62" s="487"/>
      <c r="I62" s="487"/>
      <c r="J62" s="487"/>
      <c r="K62" s="487"/>
      <c r="L62" s="487"/>
      <c r="M62" s="487"/>
      <c r="N62" s="487"/>
    </row>
    <row r="63" spans="1:14" ht="52.5" customHeight="1" x14ac:dyDescent="0.25">
      <c r="B63" s="711"/>
      <c r="C63" s="773" t="s">
        <v>1996</v>
      </c>
      <c r="D63" s="772" t="s">
        <v>1848</v>
      </c>
    </row>
    <row r="64" spans="1:14" x14ac:dyDescent="0.25">
      <c r="C64" s="567"/>
      <c r="D64" s="603"/>
    </row>
    <row r="65" spans="1:13" ht="32.25" customHeight="1" x14ac:dyDescent="0.25">
      <c r="B65" s="751" t="s">
        <v>1405</v>
      </c>
      <c r="C65" s="575"/>
      <c r="D65" s="603" t="s">
        <v>1997</v>
      </c>
      <c r="E65" s="691"/>
      <c r="F65" s="691"/>
      <c r="G65" s="691"/>
      <c r="H65" s="691"/>
    </row>
    <row r="66" spans="1:13" x14ac:dyDescent="0.25">
      <c r="B66" s="751" t="s">
        <v>1442</v>
      </c>
      <c r="C66" s="575"/>
      <c r="D66" s="603" t="s">
        <v>1846</v>
      </c>
      <c r="E66" s="691"/>
      <c r="F66" s="691"/>
      <c r="G66" s="691"/>
      <c r="H66" s="691"/>
    </row>
    <row r="67" spans="1:13" x14ac:dyDescent="0.25">
      <c r="B67" s="269"/>
      <c r="C67" s="623" t="s">
        <v>1447</v>
      </c>
      <c r="D67" s="731" t="s">
        <v>1712</v>
      </c>
      <c r="E67" s="691"/>
      <c r="F67" s="691"/>
      <c r="G67" s="691"/>
      <c r="H67" s="691"/>
    </row>
    <row r="68" spans="1:13" ht="8.25" customHeight="1" x14ac:dyDescent="0.25">
      <c r="B68" s="269"/>
      <c r="C68" s="269"/>
      <c r="D68" s="714"/>
      <c r="E68" s="691"/>
      <c r="F68" s="691"/>
      <c r="G68" s="691"/>
      <c r="H68" s="691"/>
    </row>
    <row r="69" spans="1:13" x14ac:dyDescent="0.25">
      <c r="B69" s="292" t="s">
        <v>1119</v>
      </c>
      <c r="C69" s="711"/>
      <c r="D69" s="714"/>
      <c r="E69" s="1978"/>
      <c r="G69" s="691"/>
      <c r="H69" s="691"/>
    </row>
    <row r="70" spans="1:13" x14ac:dyDescent="0.25">
      <c r="A70" s="292"/>
      <c r="C70" s="2038" t="s">
        <v>2056</v>
      </c>
      <c r="D70" s="714"/>
      <c r="E70" s="1978"/>
      <c r="G70" s="691"/>
      <c r="H70" s="691"/>
    </row>
    <row r="71" spans="1:13" ht="62.25" customHeight="1" x14ac:dyDescent="0.25">
      <c r="A71" s="292"/>
      <c r="C71" s="2071" t="s">
        <v>2057</v>
      </c>
      <c r="D71" s="2071"/>
      <c r="E71" s="1978"/>
      <c r="G71" s="691"/>
      <c r="H71" s="691"/>
    </row>
    <row r="72" spans="1:13" ht="244.5" customHeight="1" x14ac:dyDescent="0.25">
      <c r="A72" s="292"/>
      <c r="C72" s="2039" t="s">
        <v>2058</v>
      </c>
      <c r="D72" s="2007" t="s">
        <v>2059</v>
      </c>
      <c r="E72" s="1978"/>
      <c r="G72" s="691"/>
      <c r="H72" s="691"/>
    </row>
    <row r="73" spans="1:13" x14ac:dyDescent="0.25">
      <c r="A73" s="292"/>
      <c r="C73" s="711"/>
      <c r="D73" s="714"/>
      <c r="E73" s="1978"/>
      <c r="G73" s="691"/>
      <c r="H73" s="691"/>
    </row>
    <row r="74" spans="1:13" ht="379.5" customHeight="1" x14ac:dyDescent="0.25">
      <c r="C74" s="2071" t="s">
        <v>2032</v>
      </c>
      <c r="D74" s="2071"/>
      <c r="E74" s="691"/>
      <c r="F74" s="1970"/>
      <c r="G74" s="1971"/>
      <c r="H74" s="1971"/>
      <c r="I74" s="1972"/>
      <c r="J74" s="1972"/>
      <c r="K74" s="1972"/>
      <c r="L74" s="1972"/>
      <c r="M74" s="1972"/>
    </row>
    <row r="75" spans="1:13" ht="111.75" customHeight="1" x14ac:dyDescent="0.25">
      <c r="C75" s="2071" t="s">
        <v>1751</v>
      </c>
      <c r="D75" s="2071"/>
      <c r="E75" s="691"/>
      <c r="F75" s="691"/>
      <c r="G75" s="691"/>
      <c r="H75" s="691"/>
    </row>
    <row r="76" spans="1:13" x14ac:dyDescent="0.25">
      <c r="D76" s="691"/>
      <c r="E76" s="691"/>
      <c r="F76" s="691"/>
      <c r="G76" s="691"/>
      <c r="H76" s="691"/>
    </row>
  </sheetData>
  <mergeCells count="7">
    <mergeCell ref="E18:H18"/>
    <mergeCell ref="C75:D75"/>
    <mergeCell ref="B1:D1"/>
    <mergeCell ref="B4:D4"/>
    <mergeCell ref="C74:D74"/>
    <mergeCell ref="C71:D71"/>
    <mergeCell ref="B15:D15"/>
  </mergeCells>
  <phoneticPr fontId="17" type="noConversion"/>
  <hyperlinks>
    <hyperlink ref="D67" r:id="rId1" xr:uid="{00000000-0004-0000-0200-000000000000}"/>
  </hyperlinks>
  <pageMargins left="0.47244094488188981" right="0.47244094488188981" top="0.78740157480314965" bottom="0.39370078740157483" header="0.51181102362204722" footer="0.23622047244094491"/>
  <pageSetup paperSize="9" scale="80" fitToHeight="2" orientation="portrait"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2:C12"/>
  <sheetViews>
    <sheetView workbookViewId="0"/>
  </sheetViews>
  <sheetFormatPr defaultColWidth="9.09765625" defaultRowHeight="13.8" x14ac:dyDescent="0.25"/>
  <cols>
    <col min="1" max="1" width="4" style="6" customWidth="1"/>
    <col min="2" max="2" width="5.69921875" style="6" customWidth="1"/>
    <col min="3" max="3" width="64.59765625" style="6" customWidth="1"/>
    <col min="4" max="4" width="7.8984375" style="6" bestFit="1" customWidth="1"/>
    <col min="5" max="5" width="7.19921875" style="6" bestFit="1" customWidth="1"/>
    <col min="6" max="6" width="30.8984375" style="6" bestFit="1" customWidth="1"/>
    <col min="7" max="16384" width="9.09765625" style="6"/>
  </cols>
  <sheetData>
    <row r="2" spans="1:3" ht="21" x14ac:dyDescent="0.25">
      <c r="B2" s="557" t="s">
        <v>1333</v>
      </c>
    </row>
    <row r="4" spans="1:3" ht="82.8" x14ac:dyDescent="0.25">
      <c r="A4" s="486"/>
      <c r="C4" s="116" t="s">
        <v>1845</v>
      </c>
    </row>
    <row r="5" spans="1:3" x14ac:dyDescent="0.25">
      <c r="A5" s="486"/>
    </row>
    <row r="6" spans="1:3" ht="37.5" customHeight="1" x14ac:dyDescent="0.25">
      <c r="A6" s="486"/>
      <c r="C6" s="771" t="s">
        <v>1443</v>
      </c>
    </row>
    <row r="7" spans="1:3" ht="62.25" customHeight="1" x14ac:dyDescent="0.25">
      <c r="A7" s="486"/>
      <c r="B7" s="770" t="s">
        <v>1841</v>
      </c>
      <c r="C7" s="1899" t="s">
        <v>1839</v>
      </c>
    </row>
    <row r="8" spans="1:3" ht="44.25" customHeight="1" x14ac:dyDescent="0.25">
      <c r="A8" s="486"/>
      <c r="B8" s="770" t="s">
        <v>1842</v>
      </c>
      <c r="C8" s="1900" t="s">
        <v>1840</v>
      </c>
    </row>
    <row r="9" spans="1:3" ht="25.5" customHeight="1" x14ac:dyDescent="0.25">
      <c r="A9" s="486"/>
      <c r="C9" s="769" t="s">
        <v>1843</v>
      </c>
    </row>
    <row r="10" spans="1:3" x14ac:dyDescent="0.25">
      <c r="A10" s="486"/>
    </row>
    <row r="11" spans="1:3" ht="27.6" x14ac:dyDescent="0.25">
      <c r="A11" s="486"/>
      <c r="C11" s="116" t="s">
        <v>1844</v>
      </c>
    </row>
    <row r="12" spans="1:3" x14ac:dyDescent="0.25">
      <c r="A12" s="486"/>
    </row>
  </sheetData>
  <hyperlinks>
    <hyperlink ref="C7" r:id="rId1" display="https://www.audit.tas.gov.au/wp-content/uploads/MANAGEMENT-CERTIFICATION-TO-BE-PROVIDED-BY-THOSE-RESPONSIBLE-FOR-FINANCIAL-REPORTING-AT-THE-TIME-OF-SUBMISSION-OF-FINANCIAL-STATEMENTS.pdf" xr:uid="{00000000-0004-0000-1F00-000000000000}"/>
    <hyperlink ref="C8" r:id="rId2" display="https://www.audit.tas.gov.au/wp-content/uploads/MANAGEMENT-CERTIFICATION-TO-BE-PROVIDED-BY-THOSE-RESPONSIBLE-FOR-FINANCIAL-REPORTING-AT-THE-TIME-OF-SUBMISSION-OF-FINANCIAL-STATEMENTS.docx" xr:uid="{00000000-0004-0000-1F00-000001000000}"/>
    <hyperlink ref="C9" r:id="rId3" display="https://www.audit.tas.gov.au/wp-content/uploads/Financial-Statements-submission-checklist-for-preparers-010718.docx" xr:uid="{00000000-0004-0000-1F00-000002000000}"/>
  </hyperlinks>
  <pageMargins left="0.31496062992125984" right="0.31496062992125984" top="0.35433070866141736" bottom="0.35433070866141736" header="0.11811023622047245" footer="0.11811023622047245"/>
  <pageSetup paperSize="9" orientation="portrait" r:id="rId4"/>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36"/>
  <sheetViews>
    <sheetView showGridLines="0" view="pageBreakPreview" zoomScaleNormal="100" zoomScaleSheetLayoutView="100" workbookViewId="0">
      <pane ySplit="3" topLeftCell="A4" activePane="bottomLeft" state="frozen"/>
      <selection pane="bottomLeft" sqref="A1:E1"/>
    </sheetView>
  </sheetViews>
  <sheetFormatPr defaultColWidth="9" defaultRowHeight="13.8" x14ac:dyDescent="0.25"/>
  <cols>
    <col min="1" max="1" width="4.59765625" style="176" customWidth="1"/>
    <col min="2" max="2" width="68.3984375" style="176" customWidth="1"/>
    <col min="3" max="5" width="5.59765625" style="176" customWidth="1"/>
    <col min="6" max="16384" width="9" style="176"/>
  </cols>
  <sheetData>
    <row r="1" spans="1:5" ht="15.6" x14ac:dyDescent="0.25">
      <c r="A1" s="2076" t="s">
        <v>481</v>
      </c>
      <c r="B1" s="2076"/>
      <c r="C1" s="2076"/>
      <c r="D1" s="2076"/>
      <c r="E1" s="2076"/>
    </row>
    <row r="2" spans="1:5" ht="15.6" x14ac:dyDescent="0.25">
      <c r="A2" s="2076" t="s">
        <v>482</v>
      </c>
      <c r="B2" s="2076"/>
      <c r="C2" s="2076"/>
      <c r="D2" s="2076"/>
      <c r="E2" s="2076"/>
    </row>
    <row r="3" spans="1:5" ht="15.6" x14ac:dyDescent="0.25">
      <c r="A3" s="191"/>
      <c r="B3" s="191"/>
      <c r="C3" s="191"/>
      <c r="D3" s="191"/>
      <c r="E3" s="191"/>
    </row>
    <row r="4" spans="1:5" ht="15.6" x14ac:dyDescent="0.25">
      <c r="A4" s="191"/>
      <c r="B4" s="191"/>
      <c r="C4" s="191"/>
      <c r="D4" s="191"/>
      <c r="E4" s="191"/>
    </row>
    <row r="5" spans="1:5" ht="34.5" customHeight="1" x14ac:dyDescent="0.25">
      <c r="A5" s="2075" t="s">
        <v>304</v>
      </c>
      <c r="B5" s="2075"/>
      <c r="C5" s="159"/>
    </row>
    <row r="6" spans="1:5" ht="15" customHeight="1" x14ac:dyDescent="0.25">
      <c r="A6" s="159"/>
      <c r="B6" s="159"/>
      <c r="C6" s="159"/>
      <c r="D6" s="177" t="s">
        <v>412</v>
      </c>
      <c r="E6" s="177" t="s">
        <v>413</v>
      </c>
    </row>
    <row r="7" spans="1:5" ht="61.5" customHeight="1" x14ac:dyDescent="0.25">
      <c r="A7" s="42">
        <v>1</v>
      </c>
      <c r="B7" s="115" t="s">
        <v>411</v>
      </c>
      <c r="C7" s="115"/>
      <c r="D7" s="178"/>
      <c r="E7" s="178"/>
    </row>
    <row r="8" spans="1:5" ht="149.25" customHeight="1" x14ac:dyDescent="0.25">
      <c r="A8" s="42">
        <v>2</v>
      </c>
      <c r="B8" s="115" t="s">
        <v>378</v>
      </c>
      <c r="C8" s="115"/>
      <c r="D8" s="178"/>
      <c r="E8" s="178"/>
    </row>
    <row r="9" spans="1:5" ht="43.5" customHeight="1" x14ac:dyDescent="0.25">
      <c r="A9" s="42">
        <v>3</v>
      </c>
      <c r="B9" s="115" t="s">
        <v>483</v>
      </c>
      <c r="C9" s="115"/>
      <c r="D9" s="178"/>
      <c r="E9" s="178"/>
    </row>
    <row r="10" spans="1:5" ht="72.75" customHeight="1" x14ac:dyDescent="0.25">
      <c r="A10" s="42">
        <v>4</v>
      </c>
      <c r="B10" s="115" t="s">
        <v>436</v>
      </c>
      <c r="C10" s="115"/>
      <c r="D10" s="178"/>
      <c r="E10" s="178"/>
    </row>
    <row r="11" spans="1:5" ht="44.25" customHeight="1" x14ac:dyDescent="0.25">
      <c r="A11" s="42">
        <v>5</v>
      </c>
      <c r="B11" s="115" t="s">
        <v>484</v>
      </c>
      <c r="C11" s="115"/>
      <c r="D11" s="178"/>
      <c r="E11" s="178"/>
    </row>
    <row r="12" spans="1:5" ht="25.5" customHeight="1" x14ac:dyDescent="0.25">
      <c r="A12" s="556" t="s">
        <v>204</v>
      </c>
      <c r="B12" s="115" t="s">
        <v>437</v>
      </c>
      <c r="C12" s="115"/>
      <c r="D12" s="178"/>
      <c r="E12" s="178"/>
    </row>
    <row r="13" spans="1:5" ht="26.25" customHeight="1" x14ac:dyDescent="0.25">
      <c r="A13" s="556" t="s">
        <v>90</v>
      </c>
      <c r="B13" s="115" t="s">
        <v>485</v>
      </c>
      <c r="C13" s="115"/>
      <c r="D13" s="178"/>
      <c r="E13" s="178"/>
    </row>
    <row r="14" spans="1:5" ht="25.5" customHeight="1" x14ac:dyDescent="0.25">
      <c r="A14" s="556" t="s">
        <v>91</v>
      </c>
      <c r="B14" s="115" t="s">
        <v>486</v>
      </c>
      <c r="C14" s="115"/>
      <c r="D14" s="178"/>
      <c r="E14" s="178"/>
    </row>
    <row r="15" spans="1:5" ht="42.75" customHeight="1" x14ac:dyDescent="0.25">
      <c r="A15" s="556" t="s">
        <v>49</v>
      </c>
      <c r="B15" s="115" t="s">
        <v>493</v>
      </c>
      <c r="C15" s="115"/>
      <c r="D15" s="178"/>
      <c r="E15" s="178"/>
    </row>
    <row r="16" spans="1:5" ht="63.75" customHeight="1" x14ac:dyDescent="0.25">
      <c r="A16" s="556" t="s">
        <v>50</v>
      </c>
      <c r="B16" s="115" t="s">
        <v>439</v>
      </c>
      <c r="C16" s="115"/>
      <c r="D16" s="178"/>
      <c r="E16" s="178"/>
    </row>
    <row r="17" spans="1:5" ht="63.75" customHeight="1" x14ac:dyDescent="0.25">
      <c r="A17" s="42">
        <v>6</v>
      </c>
      <c r="B17" s="544" t="s">
        <v>414</v>
      </c>
      <c r="C17" s="115"/>
      <c r="D17" s="178"/>
      <c r="E17" s="178"/>
    </row>
    <row r="18" spans="1:5" ht="57.6" x14ac:dyDescent="0.25">
      <c r="A18" s="42">
        <v>7</v>
      </c>
      <c r="B18" s="544" t="s">
        <v>438</v>
      </c>
      <c r="C18" s="544"/>
      <c r="D18" s="178"/>
      <c r="E18" s="178"/>
    </row>
    <row r="19" spans="1:5" ht="57.6" x14ac:dyDescent="0.25">
      <c r="A19" s="42">
        <v>8</v>
      </c>
      <c r="B19" s="115" t="s">
        <v>279</v>
      </c>
      <c r="C19" s="115"/>
      <c r="D19" s="178"/>
      <c r="E19" s="178"/>
    </row>
    <row r="20" spans="1:5" ht="14.4" x14ac:dyDescent="0.25">
      <c r="A20" s="42"/>
      <c r="B20" s="115"/>
      <c r="C20" s="115"/>
    </row>
    <row r="21" spans="1:5" ht="14.4" x14ac:dyDescent="0.25">
      <c r="A21" s="42"/>
      <c r="B21" s="115"/>
      <c r="C21" s="115"/>
    </row>
    <row r="22" spans="1:5" ht="14.4" x14ac:dyDescent="0.25">
      <c r="A22" s="42"/>
      <c r="B22" s="115"/>
      <c r="C22" s="115"/>
    </row>
    <row r="23" spans="1:5" ht="14.4" x14ac:dyDescent="0.25">
      <c r="A23" s="42"/>
      <c r="B23" s="115"/>
      <c r="C23" s="115"/>
    </row>
    <row r="24" spans="1:5" ht="14.4" x14ac:dyDescent="0.25">
      <c r="A24" s="42"/>
      <c r="B24" s="544"/>
      <c r="C24" s="544"/>
    </row>
    <row r="25" spans="1:5" ht="14.4" x14ac:dyDescent="0.25">
      <c r="A25" s="42"/>
      <c r="B25" s="115"/>
      <c r="C25" s="115"/>
    </row>
    <row r="26" spans="1:5" ht="14.4" x14ac:dyDescent="0.25">
      <c r="A26" s="42"/>
      <c r="B26" s="115"/>
      <c r="C26" s="115"/>
    </row>
    <row r="27" spans="1:5" ht="14.4" x14ac:dyDescent="0.25">
      <c r="A27" s="42"/>
      <c r="B27" s="115"/>
      <c r="C27" s="115"/>
    </row>
    <row r="28" spans="1:5" ht="14.4" x14ac:dyDescent="0.25">
      <c r="A28" s="42"/>
      <c r="B28" s="115"/>
      <c r="C28" s="115"/>
    </row>
    <row r="29" spans="1:5" ht="14.4" x14ac:dyDescent="0.25">
      <c r="A29" s="42"/>
      <c r="B29" s="115"/>
      <c r="C29" s="115"/>
    </row>
    <row r="30" spans="1:5" ht="14.4" x14ac:dyDescent="0.25">
      <c r="A30" s="42"/>
      <c r="B30" s="115"/>
      <c r="C30" s="115"/>
    </row>
    <row r="31" spans="1:5" ht="14.4" x14ac:dyDescent="0.25">
      <c r="A31" s="42"/>
      <c r="B31" s="115"/>
      <c r="C31" s="115"/>
    </row>
    <row r="32" spans="1:5" ht="14.4" x14ac:dyDescent="0.25">
      <c r="A32" s="42"/>
      <c r="B32" s="115"/>
      <c r="C32" s="115"/>
    </row>
    <row r="33" spans="1:3" ht="14.4" x14ac:dyDescent="0.25">
      <c r="A33" s="42"/>
      <c r="B33" s="115"/>
      <c r="C33" s="115"/>
    </row>
    <row r="34" spans="1:3" ht="14.4" x14ac:dyDescent="0.25">
      <c r="A34" s="42"/>
      <c r="B34" s="115"/>
      <c r="C34" s="115"/>
    </row>
    <row r="35" spans="1:3" ht="14.4" x14ac:dyDescent="0.25">
      <c r="A35" s="42"/>
      <c r="B35" s="115"/>
      <c r="C35" s="115"/>
    </row>
    <row r="36" spans="1:3" ht="14.4" x14ac:dyDescent="0.25">
      <c r="A36" s="42"/>
      <c r="B36" s="115"/>
      <c r="C36" s="115"/>
    </row>
  </sheetData>
  <mergeCells count="3">
    <mergeCell ref="A5:B5"/>
    <mergeCell ref="A1:E1"/>
    <mergeCell ref="A2:E2"/>
  </mergeCells>
  <phoneticPr fontId="0" type="noConversion"/>
  <printOptions horizontalCentered="1"/>
  <pageMargins left="0.47244094488188981" right="0.47244094488188981" top="0.78740157480314965" bottom="0.39370078740157483" header="0.31496062992125984" footer="0.23622047244094491"/>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9"/>
  <sheetViews>
    <sheetView showGridLines="0" view="pageBreakPreview" zoomScaleNormal="100" zoomScaleSheetLayoutView="100" workbookViewId="0"/>
  </sheetViews>
  <sheetFormatPr defaultColWidth="9" defaultRowHeight="13.8" x14ac:dyDescent="0.25"/>
  <cols>
    <col min="1" max="10" width="10.59765625" style="180" customWidth="1"/>
    <col min="11" max="16384" width="9" style="116"/>
  </cols>
  <sheetData>
    <row r="1" spans="1:10" x14ac:dyDescent="0.25">
      <c r="A1" s="179"/>
      <c r="E1" s="181"/>
      <c r="G1" s="181"/>
    </row>
    <row r="2" spans="1:10" x14ac:dyDescent="0.25">
      <c r="F2" s="182"/>
      <c r="G2" s="183"/>
      <c r="H2" s="183"/>
      <c r="I2" s="182"/>
    </row>
    <row r="3" spans="1:10" ht="18" x14ac:dyDescent="0.25">
      <c r="C3" s="184"/>
      <c r="D3" s="185"/>
      <c r="G3" s="186"/>
      <c r="H3" s="183"/>
    </row>
    <row r="4" spans="1:10" ht="15.6" x14ac:dyDescent="0.25">
      <c r="G4" s="186"/>
      <c r="H4" s="186"/>
    </row>
    <row r="11" spans="1:10" ht="14.4" thickBot="1" x14ac:dyDescent="0.3"/>
    <row r="12" spans="1:10" s="117" customFormat="1" ht="24" x14ac:dyDescent="0.25">
      <c r="A12" s="187"/>
      <c r="B12" s="188"/>
      <c r="C12" s="188"/>
      <c r="D12" s="188"/>
      <c r="E12" s="188"/>
      <c r="F12" s="188"/>
      <c r="G12" s="188"/>
      <c r="H12" s="188"/>
      <c r="I12" s="188"/>
      <c r="J12" s="189"/>
    </row>
    <row r="13" spans="1:10" s="117" customFormat="1" ht="24" x14ac:dyDescent="0.25">
      <c r="A13" s="2077" t="str">
        <f>IF('Merge Details_Printing instr'!$B$11="Insert details here",'Merge Details_Printing instr'!$A$11,'Merge Details_Printing instr'!$B$11)</f>
        <v>Council Name</v>
      </c>
      <c r="B13" s="2078"/>
      <c r="C13" s="2078"/>
      <c r="D13" s="2078"/>
      <c r="E13" s="2078"/>
      <c r="F13" s="2078"/>
      <c r="G13" s="2078"/>
      <c r="H13" s="2078"/>
      <c r="I13" s="2078"/>
      <c r="J13" s="2079"/>
    </row>
    <row r="14" spans="1:10" s="117" customFormat="1" ht="24" x14ac:dyDescent="0.25">
      <c r="A14" s="2080"/>
      <c r="B14" s="2081"/>
      <c r="C14" s="2081"/>
      <c r="D14" s="2081"/>
      <c r="E14" s="2081"/>
      <c r="F14" s="2081"/>
      <c r="G14" s="2081"/>
      <c r="H14" s="2081"/>
      <c r="I14" s="2081"/>
      <c r="J14" s="2082"/>
    </row>
    <row r="15" spans="1:10" s="117" customFormat="1" ht="24" x14ac:dyDescent="0.25">
      <c r="A15" s="2077" t="s">
        <v>198</v>
      </c>
      <c r="B15" s="2083"/>
      <c r="C15" s="2083"/>
      <c r="D15" s="2083"/>
      <c r="E15" s="2083"/>
      <c r="F15" s="2083"/>
      <c r="G15" s="2083"/>
      <c r="H15" s="2083"/>
      <c r="I15" s="2083"/>
      <c r="J15" s="2084"/>
    </row>
    <row r="16" spans="1:10" s="117" customFormat="1" ht="24" x14ac:dyDescent="0.25">
      <c r="A16" s="2080" t="str">
        <f>'Merge Details_Printing instr'!A14</f>
        <v>For the Year Ended 30 June 2024</v>
      </c>
      <c r="B16" s="2088"/>
      <c r="C16" s="2088"/>
      <c r="D16" s="2088"/>
      <c r="E16" s="2088"/>
      <c r="F16" s="2088"/>
      <c r="G16" s="2088"/>
      <c r="H16" s="2088"/>
      <c r="I16" s="2088"/>
      <c r="J16" s="2089"/>
    </row>
    <row r="17" spans="1:10" s="117" customFormat="1" ht="24.6" thickBot="1" x14ac:dyDescent="0.3">
      <c r="A17" s="2085"/>
      <c r="B17" s="2086"/>
      <c r="C17" s="2086"/>
      <c r="D17" s="2086"/>
      <c r="E17" s="2086"/>
      <c r="F17" s="2086"/>
      <c r="G17" s="2086"/>
      <c r="H17" s="2086"/>
      <c r="I17" s="2086"/>
      <c r="J17" s="2087"/>
    </row>
    <row r="18" spans="1:10" ht="14.4" x14ac:dyDescent="0.25">
      <c r="A18" s="190"/>
      <c r="B18" s="190"/>
      <c r="C18" s="190"/>
      <c r="D18" s="190"/>
      <c r="E18" s="190"/>
      <c r="F18" s="190"/>
      <c r="G18" s="190"/>
      <c r="H18" s="190"/>
      <c r="I18" s="190"/>
      <c r="J18" s="190"/>
    </row>
    <row r="19" spans="1:10" ht="14.4" x14ac:dyDescent="0.25">
      <c r="A19" s="190"/>
      <c r="B19" s="190"/>
      <c r="C19" s="190"/>
      <c r="D19" s="190"/>
      <c r="E19" s="190"/>
      <c r="F19" s="190"/>
      <c r="G19" s="190"/>
      <c r="H19" s="190"/>
      <c r="I19" s="190"/>
      <c r="J19" s="190"/>
    </row>
    <row r="20" spans="1:10" ht="14.4" x14ac:dyDescent="0.25">
      <c r="A20" s="190"/>
      <c r="B20" s="190"/>
      <c r="C20" s="540"/>
      <c r="D20" s="190"/>
      <c r="E20" s="190"/>
      <c r="F20" s="190"/>
      <c r="G20" s="190"/>
      <c r="H20" s="190"/>
      <c r="I20" s="190"/>
      <c r="J20" s="190"/>
    </row>
    <row r="21" spans="1:10" ht="14.4" x14ac:dyDescent="0.25">
      <c r="A21" s="190"/>
      <c r="B21" s="190"/>
      <c r="C21" s="190"/>
      <c r="D21" s="190"/>
      <c r="E21" s="190"/>
      <c r="F21" s="190"/>
      <c r="G21" s="190"/>
      <c r="H21" s="190"/>
      <c r="I21" s="190"/>
      <c r="J21" s="190"/>
    </row>
    <row r="22" spans="1:10" ht="14.4" x14ac:dyDescent="0.25">
      <c r="A22" s="190"/>
      <c r="B22" s="190"/>
      <c r="C22" s="190"/>
      <c r="D22" s="190"/>
      <c r="E22" s="190"/>
      <c r="F22" s="190"/>
      <c r="G22" s="190"/>
      <c r="H22" s="190"/>
      <c r="I22" s="190"/>
      <c r="J22" s="190"/>
    </row>
    <row r="23" spans="1:10" ht="14.4" x14ac:dyDescent="0.25">
      <c r="A23" s="190"/>
      <c r="B23" s="190"/>
      <c r="C23" s="190"/>
      <c r="D23" s="190"/>
      <c r="E23" s="190"/>
      <c r="F23" s="190"/>
      <c r="G23" s="190"/>
      <c r="H23" s="190"/>
      <c r="I23" s="190"/>
      <c r="J23" s="190"/>
    </row>
    <row r="28" spans="1:10" x14ac:dyDescent="0.25">
      <c r="D28" s="116"/>
    </row>
    <row r="29" spans="1:10" x14ac:dyDescent="0.25">
      <c r="D29" s="116"/>
    </row>
  </sheetData>
  <customSheetViews>
    <customSheetView guid="{7F222B88-8DE7-4209-9261-78C075D2F561}" scale="75" showPageBreaks="1" printArea="1" showRuler="0" topLeftCell="A15">
      <selection activeCell="E12" sqref="E12:E48"/>
      <pageMargins left="0.74803149606299213" right="0.62992125984251968" top="0.70866141732283472" bottom="0.70866141732283472" header="0.51181102362204722" footer="0.51181102362204722"/>
      <pageSetup paperSize="9" scale="67" orientation="portrait" r:id="rId1"/>
      <headerFooter alignWithMargins="0"/>
    </customSheetView>
  </customSheetViews>
  <mergeCells count="5">
    <mergeCell ref="A13:J13"/>
    <mergeCell ref="A14:J14"/>
    <mergeCell ref="A15:J15"/>
    <mergeCell ref="A17:J17"/>
    <mergeCell ref="A16:J16"/>
  </mergeCells>
  <phoneticPr fontId="0" type="noConversion"/>
  <printOptions horizontalCentered="1"/>
  <pageMargins left="0.55118110236220474" right="0.55118110236220474" top="0.98425196850393704" bottom="0.39370078740157483" header="0.51181102362204722" footer="0.51181102362204722"/>
  <pageSetup paperSize="9" scale="70"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sheetPr>
  <dimension ref="A1:L94"/>
  <sheetViews>
    <sheetView showGridLines="0" view="pageBreakPreview" zoomScaleNormal="115" zoomScaleSheetLayoutView="100" workbookViewId="0">
      <pane xSplit="2" ySplit="3" topLeftCell="D4" activePane="bottomRight" state="frozen"/>
      <selection pane="topRight"/>
      <selection pane="bottomLeft"/>
      <selection pane="bottomRight" activeCell="D4" sqref="D4:E5"/>
    </sheetView>
  </sheetViews>
  <sheetFormatPr defaultColWidth="6" defaultRowHeight="13.8" x14ac:dyDescent="0.25"/>
  <cols>
    <col min="1" max="1" width="12" style="64" customWidth="1"/>
    <col min="2" max="2" width="9.59765625" style="64" customWidth="1"/>
    <col min="3" max="3" width="1.59765625" style="62" hidden="1" customWidth="1"/>
    <col min="4" max="4" width="8.8984375" style="62" customWidth="1"/>
    <col min="5" max="5" width="66.09765625" style="62" customWidth="1"/>
    <col min="6" max="6" width="10.3984375" style="64" customWidth="1"/>
    <col min="7" max="7" width="6" style="62"/>
    <col min="8" max="8" width="61.3984375" style="62" customWidth="1"/>
    <col min="9" max="16384" width="6" style="62"/>
  </cols>
  <sheetData>
    <row r="1" spans="1:6" s="64" customFormat="1" ht="16.5" customHeight="1" x14ac:dyDescent="0.25">
      <c r="A1" s="2091" t="str">
        <f>IF('Merge Details_Printing instr'!$B$11="Insert details here",'Merge Details_Printing instr'!$A$11,'Merge Details_Printing instr'!$B$11)</f>
        <v>Council Name</v>
      </c>
      <c r="B1" s="2091"/>
      <c r="C1" s="2091"/>
      <c r="D1" s="2091"/>
      <c r="E1" s="2091"/>
      <c r="F1" s="2091"/>
    </row>
    <row r="2" spans="1:6" s="64" customFormat="1" ht="16.5" customHeight="1" x14ac:dyDescent="0.25">
      <c r="A2" s="2092" t="s">
        <v>302</v>
      </c>
      <c r="B2" s="2092"/>
      <c r="C2" s="2092"/>
      <c r="D2" s="2092"/>
      <c r="E2" s="2092"/>
      <c r="F2" s="2092"/>
    </row>
    <row r="3" spans="1:6" s="64" customFormat="1" ht="16.5" customHeight="1" x14ac:dyDescent="0.25">
      <c r="A3" s="2092" t="s">
        <v>70</v>
      </c>
      <c r="B3" s="2092"/>
      <c r="C3" s="2092"/>
      <c r="D3" s="2092"/>
      <c r="E3" s="2092"/>
      <c r="F3" s="2092"/>
    </row>
    <row r="4" spans="1:6" s="64" customFormat="1" ht="15" customHeight="1" x14ac:dyDescent="0.25">
      <c r="A4" s="2093" t="s">
        <v>1446</v>
      </c>
      <c r="B4" s="2093" t="s">
        <v>288</v>
      </c>
      <c r="C4" s="397"/>
      <c r="D4" s="2094" t="s">
        <v>568</v>
      </c>
      <c r="E4" s="2094"/>
      <c r="F4" s="2095" t="s">
        <v>569</v>
      </c>
    </row>
    <row r="5" spans="1:6" s="64" customFormat="1" ht="20.25" customHeight="1" x14ac:dyDescent="0.25">
      <c r="A5" s="2093"/>
      <c r="B5" s="2093"/>
      <c r="C5" s="397"/>
      <c r="D5" s="2094"/>
      <c r="E5" s="2094"/>
      <c r="F5" s="2096"/>
    </row>
    <row r="6" spans="1:6" s="37" customFormat="1" ht="6" hidden="1" customHeight="1" x14ac:dyDescent="0.25">
      <c r="A6" s="388"/>
      <c r="B6" s="388"/>
      <c r="C6" s="389"/>
      <c r="D6" s="389"/>
      <c r="E6" s="389"/>
      <c r="F6" s="389"/>
    </row>
    <row r="7" spans="1:6" s="37" customFormat="1" ht="16.5" customHeight="1" x14ac:dyDescent="0.25">
      <c r="A7" s="390"/>
      <c r="B7" s="390"/>
      <c r="C7" s="389"/>
      <c r="D7" s="2090" t="s">
        <v>74</v>
      </c>
      <c r="E7" s="2090"/>
      <c r="F7" s="391"/>
    </row>
    <row r="8" spans="1:6" s="518" customFormat="1" ht="16.5" customHeight="1" x14ac:dyDescent="0.25">
      <c r="A8" s="390"/>
      <c r="B8" s="390"/>
      <c r="C8" s="515"/>
      <c r="D8" s="516" t="s">
        <v>209</v>
      </c>
      <c r="E8" s="516" t="s">
        <v>1305</v>
      </c>
      <c r="F8" s="391"/>
    </row>
    <row r="9" spans="1:6" s="400" customFormat="1" ht="16.5" customHeight="1" x14ac:dyDescent="0.25">
      <c r="A9" s="390">
        <v>101</v>
      </c>
      <c r="B9" s="390"/>
      <c r="C9" s="398"/>
      <c r="D9" s="522">
        <v>1.1000000000000001</v>
      </c>
      <c r="E9" s="399" t="s">
        <v>1125</v>
      </c>
      <c r="F9" s="392">
        <v>7</v>
      </c>
    </row>
    <row r="10" spans="1:6" s="400" customFormat="1" ht="16.5" customHeight="1" x14ac:dyDescent="0.25">
      <c r="A10" s="390">
        <v>101</v>
      </c>
      <c r="B10" s="390"/>
      <c r="C10" s="398"/>
      <c r="D10" s="522">
        <v>1.2</v>
      </c>
      <c r="E10" s="399" t="s">
        <v>4</v>
      </c>
      <c r="F10" s="392">
        <v>7</v>
      </c>
    </row>
    <row r="11" spans="1:6" s="400" customFormat="1" ht="16.5" customHeight="1" x14ac:dyDescent="0.25">
      <c r="A11" s="390">
        <v>101</v>
      </c>
      <c r="B11" s="390"/>
      <c r="C11" s="398"/>
      <c r="D11" s="522">
        <v>1.3</v>
      </c>
      <c r="E11" s="399" t="s">
        <v>1126</v>
      </c>
      <c r="F11" s="392">
        <v>7</v>
      </c>
    </row>
    <row r="12" spans="1:6" s="705" customFormat="1" ht="16.5" customHeight="1" x14ac:dyDescent="0.25">
      <c r="A12" s="390"/>
      <c r="B12" s="390"/>
      <c r="C12" s="671"/>
      <c r="D12" s="522">
        <v>1.4</v>
      </c>
      <c r="E12" s="399" t="s">
        <v>714</v>
      </c>
      <c r="F12" s="392">
        <v>8</v>
      </c>
    </row>
    <row r="13" spans="1:6" s="705" customFormat="1" ht="16.5" customHeight="1" x14ac:dyDescent="0.25">
      <c r="A13" s="390">
        <v>1052</v>
      </c>
      <c r="B13" s="390"/>
      <c r="C13" s="671"/>
      <c r="D13" s="522">
        <v>1.5</v>
      </c>
      <c r="E13" s="389" t="s">
        <v>6</v>
      </c>
      <c r="F13" s="392">
        <v>10</v>
      </c>
    </row>
    <row r="14" spans="1:6" s="518" customFormat="1" ht="16.5" customHeight="1" x14ac:dyDescent="0.25">
      <c r="A14" s="390"/>
      <c r="B14" s="390"/>
      <c r="C14" s="515"/>
      <c r="D14" s="516" t="s">
        <v>210</v>
      </c>
      <c r="E14" s="516" t="s">
        <v>594</v>
      </c>
      <c r="F14" s="392"/>
    </row>
    <row r="15" spans="1:6" s="37" customFormat="1" ht="16.5" customHeight="1" x14ac:dyDescent="0.25">
      <c r="A15" s="710" t="s">
        <v>1667</v>
      </c>
      <c r="B15" s="390"/>
      <c r="C15" s="389"/>
      <c r="D15" s="521">
        <v>2.1</v>
      </c>
      <c r="E15" s="389" t="s">
        <v>257</v>
      </c>
      <c r="F15" s="392">
        <v>11</v>
      </c>
    </row>
    <row r="16" spans="1:6" s="37" customFormat="1" ht="16.5" customHeight="1" x14ac:dyDescent="0.25">
      <c r="A16" s="710" t="s">
        <v>1667</v>
      </c>
      <c r="B16" s="390"/>
      <c r="C16" s="389"/>
      <c r="D16" s="521">
        <v>2.2000000000000002</v>
      </c>
      <c r="E16" s="389" t="s">
        <v>67</v>
      </c>
      <c r="F16" s="392">
        <v>11</v>
      </c>
    </row>
    <row r="17" spans="1:6" s="37" customFormat="1" ht="16.5" customHeight="1" x14ac:dyDescent="0.25">
      <c r="A17" s="710" t="s">
        <v>1667</v>
      </c>
      <c r="B17" s="390"/>
      <c r="C17" s="389"/>
      <c r="D17" s="521">
        <v>2.2999999999999998</v>
      </c>
      <c r="E17" s="389" t="s">
        <v>258</v>
      </c>
      <c r="F17" s="392">
        <v>11</v>
      </c>
    </row>
    <row r="18" spans="1:6" s="37" customFormat="1" ht="16.5" customHeight="1" x14ac:dyDescent="0.25">
      <c r="A18" s="710" t="s">
        <v>1667</v>
      </c>
      <c r="B18" s="390"/>
      <c r="C18" s="389"/>
      <c r="D18" s="521">
        <v>2.4</v>
      </c>
      <c r="E18" s="389" t="s">
        <v>616</v>
      </c>
      <c r="F18" s="392">
        <v>12</v>
      </c>
    </row>
    <row r="19" spans="1:6" s="37" customFormat="1" ht="16.5" customHeight="1" x14ac:dyDescent="0.25">
      <c r="A19" s="710" t="s">
        <v>1667</v>
      </c>
      <c r="B19" s="390"/>
      <c r="C19" s="389"/>
      <c r="D19" s="521">
        <v>2.5</v>
      </c>
      <c r="E19" s="389" t="s">
        <v>588</v>
      </c>
      <c r="F19" s="392">
        <v>13</v>
      </c>
    </row>
    <row r="20" spans="1:6" s="37" customFormat="1" ht="16.5" customHeight="1" x14ac:dyDescent="0.25">
      <c r="A20" s="710" t="s">
        <v>1667</v>
      </c>
      <c r="B20" s="390"/>
      <c r="C20" s="389"/>
      <c r="D20" s="521">
        <v>2.6</v>
      </c>
      <c r="E20" s="389" t="s">
        <v>774</v>
      </c>
      <c r="F20" s="392">
        <v>13</v>
      </c>
    </row>
    <row r="21" spans="1:6" s="37" customFormat="1" ht="16.5" customHeight="1" x14ac:dyDescent="0.25">
      <c r="A21" s="710" t="s">
        <v>1667</v>
      </c>
      <c r="B21" s="388"/>
      <c r="C21" s="389"/>
      <c r="D21" s="521">
        <v>2.7</v>
      </c>
      <c r="E21" s="389" t="s">
        <v>214</v>
      </c>
      <c r="F21" s="392">
        <v>14</v>
      </c>
    </row>
    <row r="22" spans="1:6" s="37" customFormat="1" ht="16.5" customHeight="1" x14ac:dyDescent="0.25">
      <c r="A22" s="393">
        <v>101</v>
      </c>
      <c r="B22" s="388"/>
      <c r="C22" s="389"/>
      <c r="D22" s="521">
        <v>2.8</v>
      </c>
      <c r="E22" s="558" t="s">
        <v>0</v>
      </c>
      <c r="F22" s="392">
        <v>14</v>
      </c>
    </row>
    <row r="23" spans="1:6" s="37" customFormat="1" ht="16.5" customHeight="1" x14ac:dyDescent="0.25">
      <c r="A23" s="393">
        <v>101</v>
      </c>
      <c r="B23" s="390"/>
      <c r="C23" s="389"/>
      <c r="D23" s="521">
        <v>2.9</v>
      </c>
      <c r="E23" s="389" t="s">
        <v>110</v>
      </c>
      <c r="F23" s="392">
        <v>14</v>
      </c>
    </row>
    <row r="24" spans="1:6" s="518" customFormat="1" ht="16.5" customHeight="1" x14ac:dyDescent="0.25">
      <c r="A24" s="393"/>
      <c r="B24" s="390"/>
      <c r="C24" s="515"/>
      <c r="D24" s="516" t="s">
        <v>211</v>
      </c>
      <c r="E24" s="516" t="s">
        <v>582</v>
      </c>
      <c r="F24" s="392"/>
    </row>
    <row r="25" spans="1:6" s="37" customFormat="1" ht="16.5" customHeight="1" x14ac:dyDescent="0.25">
      <c r="A25" s="393">
        <v>101</v>
      </c>
      <c r="B25" s="390"/>
      <c r="C25" s="389"/>
      <c r="D25" s="521">
        <v>3.1</v>
      </c>
      <c r="E25" s="389" t="s">
        <v>107</v>
      </c>
      <c r="F25" s="392">
        <v>15</v>
      </c>
    </row>
    <row r="26" spans="1:6" s="37" customFormat="1" ht="16.5" customHeight="1" x14ac:dyDescent="0.25">
      <c r="A26" s="393">
        <v>101</v>
      </c>
      <c r="B26" s="390"/>
      <c r="C26" s="389"/>
      <c r="D26" s="521">
        <v>3.2</v>
      </c>
      <c r="E26" s="389" t="s">
        <v>77</v>
      </c>
      <c r="F26" s="392">
        <v>15</v>
      </c>
    </row>
    <row r="27" spans="1:6" s="37" customFormat="1" ht="16.5" customHeight="1" x14ac:dyDescent="0.25">
      <c r="A27" s="393">
        <v>101</v>
      </c>
      <c r="B27" s="390"/>
      <c r="C27" s="389"/>
      <c r="D27" s="521">
        <v>3.3</v>
      </c>
      <c r="E27" s="389" t="s">
        <v>736</v>
      </c>
      <c r="F27" s="392">
        <v>15</v>
      </c>
    </row>
    <row r="28" spans="1:6" s="37" customFormat="1" ht="16.5" customHeight="1" x14ac:dyDescent="0.25">
      <c r="A28" s="393">
        <v>101</v>
      </c>
      <c r="B28" s="390"/>
      <c r="C28" s="389"/>
      <c r="D28" s="521">
        <v>3.4</v>
      </c>
      <c r="E28" s="389" t="s">
        <v>75</v>
      </c>
      <c r="F28" s="392">
        <v>16</v>
      </c>
    </row>
    <row r="29" spans="1:6" s="37" customFormat="1" ht="16.5" customHeight="1" x14ac:dyDescent="0.25">
      <c r="A29" s="390">
        <v>101</v>
      </c>
      <c r="B29" s="390"/>
      <c r="C29" s="389"/>
      <c r="D29" s="521">
        <v>3.5</v>
      </c>
      <c r="E29" s="389" t="s">
        <v>175</v>
      </c>
      <c r="F29" s="392">
        <v>17</v>
      </c>
    </row>
    <row r="30" spans="1:6" s="37" customFormat="1" ht="16.5" customHeight="1" x14ac:dyDescent="0.25">
      <c r="A30" s="390">
        <v>101</v>
      </c>
      <c r="B30" s="390"/>
      <c r="C30" s="389"/>
      <c r="D30" s="521">
        <v>3.6</v>
      </c>
      <c r="E30" s="389" t="s">
        <v>573</v>
      </c>
      <c r="F30" s="392">
        <v>18</v>
      </c>
    </row>
    <row r="31" spans="1:6" s="518" customFormat="1" ht="16.5" customHeight="1" x14ac:dyDescent="0.25">
      <c r="A31" s="390"/>
      <c r="B31" s="390"/>
      <c r="C31" s="515"/>
      <c r="D31" s="689" t="s">
        <v>467</v>
      </c>
      <c r="E31" s="689" t="s">
        <v>1306</v>
      </c>
      <c r="F31" s="392"/>
    </row>
    <row r="32" spans="1:6" s="37" customFormat="1" ht="16.5" customHeight="1" x14ac:dyDescent="0.25">
      <c r="A32" s="390">
        <v>101</v>
      </c>
      <c r="B32" s="390"/>
      <c r="C32" s="389"/>
      <c r="D32" s="521">
        <v>4.0999999999999996</v>
      </c>
      <c r="E32" s="671" t="s">
        <v>39</v>
      </c>
      <c r="F32" s="392">
        <v>18</v>
      </c>
    </row>
    <row r="33" spans="1:8" s="37" customFormat="1" ht="16.5" customHeight="1" x14ac:dyDescent="0.25">
      <c r="A33" s="390">
        <v>101</v>
      </c>
      <c r="B33" s="390"/>
      <c r="C33" s="389"/>
      <c r="D33" s="521">
        <v>4.2</v>
      </c>
      <c r="E33" s="671" t="s">
        <v>336</v>
      </c>
      <c r="F33" s="392">
        <v>19</v>
      </c>
    </row>
    <row r="34" spans="1:8" s="37" customFormat="1" ht="16.5" customHeight="1" x14ac:dyDescent="0.25">
      <c r="A34" s="390">
        <v>101</v>
      </c>
      <c r="B34" s="390"/>
      <c r="C34" s="389"/>
      <c r="D34" s="521">
        <v>4.3</v>
      </c>
      <c r="E34" s="671" t="s">
        <v>1595</v>
      </c>
      <c r="F34" s="392">
        <v>19</v>
      </c>
    </row>
    <row r="35" spans="1:8" s="37" customFormat="1" ht="16.5" customHeight="1" x14ac:dyDescent="0.25">
      <c r="A35" s="390">
        <v>101</v>
      </c>
      <c r="B35" s="388"/>
      <c r="C35" s="389"/>
      <c r="D35" s="521">
        <v>4.4000000000000004</v>
      </c>
      <c r="E35" s="671" t="s">
        <v>552</v>
      </c>
      <c r="F35" s="392">
        <v>20</v>
      </c>
    </row>
    <row r="36" spans="1:8" s="37" customFormat="1" ht="16.5" customHeight="1" x14ac:dyDescent="0.25">
      <c r="A36" s="390">
        <v>101</v>
      </c>
      <c r="B36" s="390"/>
      <c r="C36" s="389"/>
      <c r="D36" s="521">
        <v>4.5</v>
      </c>
      <c r="E36" s="671" t="s">
        <v>134</v>
      </c>
      <c r="F36" s="392">
        <v>20</v>
      </c>
    </row>
    <row r="37" spans="1:8" s="673" customFormat="1" ht="16.5" customHeight="1" x14ac:dyDescent="0.25">
      <c r="A37" s="390"/>
      <c r="B37" s="390"/>
      <c r="C37" s="671"/>
      <c r="D37" s="521">
        <v>4.5999999999999996</v>
      </c>
      <c r="E37" s="671" t="s">
        <v>1580</v>
      </c>
      <c r="F37" s="392">
        <v>20</v>
      </c>
    </row>
    <row r="38" spans="1:8" s="518" customFormat="1" ht="16.5" customHeight="1" x14ac:dyDescent="0.25">
      <c r="A38" s="390"/>
      <c r="B38" s="390"/>
      <c r="C38" s="515"/>
      <c r="D38" s="689" t="s">
        <v>1612</v>
      </c>
      <c r="E38" s="736" t="s">
        <v>1690</v>
      </c>
      <c r="F38" s="392"/>
    </row>
    <row r="39" spans="1:8" s="37" customFormat="1" ht="16.5" customHeight="1" x14ac:dyDescent="0.25">
      <c r="A39" s="390">
        <v>101</v>
      </c>
      <c r="B39" s="390"/>
      <c r="C39" s="389"/>
      <c r="D39" s="521">
        <v>5.0999999999999996</v>
      </c>
      <c r="E39" s="671" t="s">
        <v>76</v>
      </c>
      <c r="F39" s="392">
        <v>21</v>
      </c>
    </row>
    <row r="40" spans="1:8" s="37" customFormat="1" ht="16.5" customHeight="1" x14ac:dyDescent="0.25">
      <c r="A40" s="390">
        <v>101</v>
      </c>
      <c r="B40" s="390"/>
      <c r="C40" s="389"/>
      <c r="D40" s="521">
        <v>5.2</v>
      </c>
      <c r="E40" s="389" t="s">
        <v>544</v>
      </c>
      <c r="F40" s="392">
        <v>22</v>
      </c>
    </row>
    <row r="41" spans="1:8" s="518" customFormat="1" ht="16.5" customHeight="1" x14ac:dyDescent="0.25">
      <c r="A41" s="390"/>
      <c r="B41" s="390"/>
      <c r="C41" s="515"/>
      <c r="D41" s="516" t="s">
        <v>468</v>
      </c>
      <c r="E41" s="516" t="s">
        <v>150</v>
      </c>
      <c r="F41" s="392"/>
    </row>
    <row r="42" spans="1:8" s="37" customFormat="1" ht="16.5" customHeight="1" x14ac:dyDescent="0.25">
      <c r="A42" s="390">
        <v>101</v>
      </c>
      <c r="B42" s="390"/>
      <c r="C42" s="389"/>
      <c r="D42" s="521">
        <v>6.1</v>
      </c>
      <c r="E42" s="671" t="s">
        <v>1399</v>
      </c>
      <c r="F42" s="392">
        <v>23</v>
      </c>
    </row>
    <row r="43" spans="1:8" s="37" customFormat="1" ht="16.5" customHeight="1" x14ac:dyDescent="0.25">
      <c r="A43" s="390">
        <v>101</v>
      </c>
      <c r="B43" s="390"/>
      <c r="C43" s="389"/>
      <c r="D43" s="521">
        <v>6.2</v>
      </c>
      <c r="E43" s="671" t="s">
        <v>319</v>
      </c>
      <c r="F43" s="392">
        <v>29</v>
      </c>
      <c r="G43" s="607"/>
      <c r="H43" s="608"/>
    </row>
    <row r="44" spans="1:8" s="37" customFormat="1" ht="16.5" customHeight="1" x14ac:dyDescent="0.25">
      <c r="A44" s="390">
        <v>101</v>
      </c>
      <c r="B44" s="390"/>
      <c r="C44" s="389"/>
      <c r="D44" s="521">
        <v>6.3</v>
      </c>
      <c r="E44" s="671" t="s">
        <v>653</v>
      </c>
      <c r="F44" s="392">
        <v>29</v>
      </c>
    </row>
    <row r="45" spans="1:8" s="37" customFormat="1" ht="16.5" customHeight="1" x14ac:dyDescent="0.25">
      <c r="A45" s="390">
        <v>101</v>
      </c>
      <c r="B45" s="388"/>
      <c r="C45" s="389"/>
      <c r="D45" s="521">
        <v>6.4</v>
      </c>
      <c r="E45" s="671" t="s">
        <v>1450</v>
      </c>
      <c r="F45" s="392">
        <v>30</v>
      </c>
    </row>
    <row r="46" spans="1:8" s="656" customFormat="1" ht="16.5" customHeight="1" x14ac:dyDescent="0.25">
      <c r="A46" s="390"/>
      <c r="B46" s="388"/>
      <c r="C46" s="654"/>
      <c r="D46" s="521">
        <v>6.5</v>
      </c>
      <c r="E46" s="671" t="s">
        <v>652</v>
      </c>
      <c r="F46" s="392">
        <v>31</v>
      </c>
    </row>
    <row r="47" spans="1:8" s="518" customFormat="1" ht="16.5" customHeight="1" x14ac:dyDescent="0.25">
      <c r="A47" s="390"/>
      <c r="B47" s="388"/>
      <c r="C47" s="515"/>
      <c r="D47" s="689" t="s">
        <v>469</v>
      </c>
      <c r="E47" s="689" t="s">
        <v>181</v>
      </c>
      <c r="F47" s="392"/>
    </row>
    <row r="48" spans="1:8" s="37" customFormat="1" ht="16.5" customHeight="1" x14ac:dyDescent="0.25">
      <c r="A48" s="390">
        <v>101</v>
      </c>
      <c r="B48" s="390"/>
      <c r="C48" s="389"/>
      <c r="D48" s="521">
        <v>7.1</v>
      </c>
      <c r="E48" s="671" t="s">
        <v>240</v>
      </c>
      <c r="F48" s="392">
        <v>31</v>
      </c>
    </row>
    <row r="49" spans="1:12" s="37" customFormat="1" ht="16.5" customHeight="1" x14ac:dyDescent="0.25">
      <c r="A49" s="390">
        <v>101</v>
      </c>
      <c r="B49" s="390"/>
      <c r="C49" s="389"/>
      <c r="D49" s="521">
        <v>7.2</v>
      </c>
      <c r="E49" s="671" t="s">
        <v>29</v>
      </c>
      <c r="F49" s="392">
        <v>31</v>
      </c>
    </row>
    <row r="50" spans="1:12" s="37" customFormat="1" ht="16.5" customHeight="1" x14ac:dyDescent="0.25">
      <c r="A50" s="394">
        <v>101</v>
      </c>
      <c r="B50" s="390"/>
      <c r="C50" s="389"/>
      <c r="D50" s="521">
        <v>7.3</v>
      </c>
      <c r="E50" s="671" t="s">
        <v>141</v>
      </c>
      <c r="F50" s="392">
        <v>31</v>
      </c>
    </row>
    <row r="51" spans="1:12" s="656" customFormat="1" ht="16.5" customHeight="1" x14ac:dyDescent="0.25">
      <c r="A51" s="394"/>
      <c r="B51" s="390"/>
      <c r="C51" s="654"/>
      <c r="D51" s="521">
        <v>7.4</v>
      </c>
      <c r="E51" s="671" t="s">
        <v>1449</v>
      </c>
      <c r="F51" s="392">
        <v>33</v>
      </c>
    </row>
    <row r="52" spans="1:12" s="656" customFormat="1" ht="16.5" customHeight="1" x14ac:dyDescent="0.25">
      <c r="A52" s="394"/>
      <c r="B52" s="390"/>
      <c r="C52" s="654"/>
      <c r="D52" s="521">
        <v>7.5</v>
      </c>
      <c r="E52" s="671" t="s">
        <v>1578</v>
      </c>
      <c r="F52" s="392">
        <v>34</v>
      </c>
    </row>
    <row r="53" spans="1:12" s="518" customFormat="1" ht="16.5" customHeight="1" x14ac:dyDescent="0.25">
      <c r="A53" s="394"/>
      <c r="B53" s="390"/>
      <c r="C53" s="515"/>
      <c r="D53" s="689" t="s">
        <v>470</v>
      </c>
      <c r="E53" s="689" t="s">
        <v>154</v>
      </c>
      <c r="F53" s="392"/>
    </row>
    <row r="54" spans="1:12" s="37" customFormat="1" ht="16.5" customHeight="1" x14ac:dyDescent="0.25">
      <c r="A54" s="390">
        <v>101</v>
      </c>
      <c r="B54" s="390"/>
      <c r="C54" s="389"/>
      <c r="D54" s="521">
        <v>8.1</v>
      </c>
      <c r="E54" s="671" t="s">
        <v>630</v>
      </c>
      <c r="F54" s="392">
        <v>35</v>
      </c>
    </row>
    <row r="55" spans="1:12" s="518" customFormat="1" ht="16.5" customHeight="1" x14ac:dyDescent="0.25">
      <c r="A55" s="390"/>
      <c r="B55" s="390"/>
      <c r="C55" s="515"/>
      <c r="D55" s="689" t="s">
        <v>471</v>
      </c>
      <c r="E55" s="689" t="s">
        <v>1307</v>
      </c>
      <c r="F55" s="392"/>
    </row>
    <row r="56" spans="1:12" s="37" customFormat="1" ht="16.5" customHeight="1" x14ac:dyDescent="0.25">
      <c r="A56" s="390">
        <v>101</v>
      </c>
      <c r="B56" s="390"/>
      <c r="C56" s="389"/>
      <c r="D56" s="521">
        <v>9.1</v>
      </c>
      <c r="E56" s="389" t="s">
        <v>419</v>
      </c>
      <c r="F56" s="392">
        <v>36</v>
      </c>
    </row>
    <row r="57" spans="1:12" s="37" customFormat="1" ht="16.5" customHeight="1" x14ac:dyDescent="0.25">
      <c r="A57" s="390">
        <v>107</v>
      </c>
      <c r="B57" s="390"/>
      <c r="C57" s="389"/>
      <c r="D57" s="521">
        <v>9.1999999999999993</v>
      </c>
      <c r="E57" s="389" t="s">
        <v>332</v>
      </c>
      <c r="F57" s="392">
        <v>37</v>
      </c>
    </row>
    <row r="58" spans="1:12" s="518" customFormat="1" ht="16.5" customHeight="1" x14ac:dyDescent="0.25">
      <c r="A58" s="390">
        <v>107</v>
      </c>
      <c r="B58" s="390"/>
      <c r="C58" s="515"/>
      <c r="D58" s="521">
        <v>9.3000000000000007</v>
      </c>
      <c r="E58" s="560" t="s">
        <v>1313</v>
      </c>
      <c r="F58" s="392">
        <v>37</v>
      </c>
      <c r="G58" s="560"/>
      <c r="H58" s="560"/>
      <c r="I58" s="560"/>
      <c r="J58" s="560"/>
      <c r="K58" s="560"/>
      <c r="L58" s="560"/>
    </row>
    <row r="59" spans="1:12" s="37" customFormat="1" ht="16.5" customHeight="1" x14ac:dyDescent="0.25">
      <c r="A59" s="390">
        <v>132</v>
      </c>
      <c r="B59" s="390"/>
      <c r="C59" s="389"/>
      <c r="D59" s="521">
        <v>9.4</v>
      </c>
      <c r="E59" s="389" t="s">
        <v>318</v>
      </c>
      <c r="F59" s="392">
        <v>37</v>
      </c>
    </row>
    <row r="60" spans="1:12" s="37" customFormat="1" ht="16.5" customHeight="1" x14ac:dyDescent="0.25">
      <c r="A60" s="390">
        <v>101</v>
      </c>
      <c r="B60" s="390"/>
      <c r="C60" s="389"/>
      <c r="D60" s="521">
        <v>9.5</v>
      </c>
      <c r="E60" s="389" t="s">
        <v>99</v>
      </c>
      <c r="F60" s="392">
        <v>37</v>
      </c>
    </row>
    <row r="61" spans="1:12" s="37" customFormat="1" ht="16.5" customHeight="1" x14ac:dyDescent="0.25">
      <c r="A61" s="390">
        <v>107</v>
      </c>
      <c r="B61" s="395"/>
      <c r="C61" s="389"/>
      <c r="D61" s="521">
        <v>9.6</v>
      </c>
      <c r="E61" s="389" t="s">
        <v>100</v>
      </c>
      <c r="F61" s="392">
        <v>37</v>
      </c>
    </row>
    <row r="62" spans="1:12" s="37" customFormat="1" ht="16.5" customHeight="1" x14ac:dyDescent="0.25">
      <c r="A62" s="390">
        <v>119</v>
      </c>
      <c r="B62" s="388"/>
      <c r="C62" s="389"/>
      <c r="D62" s="521">
        <v>9.6999999999999993</v>
      </c>
      <c r="E62" s="389" t="s">
        <v>420</v>
      </c>
      <c r="F62" s="392">
        <v>38</v>
      </c>
    </row>
    <row r="63" spans="1:12" s="37" customFormat="1" ht="16.5" customHeight="1" x14ac:dyDescent="0.25">
      <c r="A63" s="390" t="s">
        <v>340</v>
      </c>
      <c r="B63" s="390"/>
      <c r="C63" s="389"/>
      <c r="D63" s="521">
        <v>9.8000000000000007</v>
      </c>
      <c r="E63" s="389" t="s">
        <v>581</v>
      </c>
      <c r="F63" s="392">
        <v>39</v>
      </c>
    </row>
    <row r="64" spans="1:12" s="37" customFormat="1" ht="16.5" customHeight="1" x14ac:dyDescent="0.25">
      <c r="A64" s="390">
        <v>16</v>
      </c>
      <c r="B64" s="390"/>
      <c r="C64" s="389"/>
      <c r="D64" s="521">
        <v>9.9</v>
      </c>
      <c r="E64" s="671" t="s">
        <v>987</v>
      </c>
      <c r="F64" s="392">
        <v>39</v>
      </c>
    </row>
    <row r="65" spans="1:6" s="37" customFormat="1" ht="16.5" customHeight="1" x14ac:dyDescent="0.25">
      <c r="A65" s="390">
        <v>137</v>
      </c>
      <c r="B65" s="390"/>
      <c r="C65" s="389"/>
      <c r="D65" s="523">
        <v>9.1</v>
      </c>
      <c r="E65" s="558" t="s">
        <v>551</v>
      </c>
      <c r="F65" s="392">
        <v>40</v>
      </c>
    </row>
    <row r="66" spans="1:6" s="37" customFormat="1" ht="16.5" customHeight="1" x14ac:dyDescent="0.25">
      <c r="A66" s="390" t="s">
        <v>38</v>
      </c>
      <c r="B66" s="390"/>
      <c r="C66" s="389"/>
      <c r="D66" s="521">
        <v>9.11</v>
      </c>
      <c r="E66" s="558" t="s">
        <v>638</v>
      </c>
      <c r="F66" s="392">
        <v>41</v>
      </c>
    </row>
    <row r="67" spans="1:6" s="303" customFormat="1" ht="16.5" customHeight="1" x14ac:dyDescent="0.25">
      <c r="A67" s="390" t="s">
        <v>496</v>
      </c>
      <c r="B67" s="396" t="s">
        <v>847</v>
      </c>
      <c r="C67" s="389"/>
      <c r="D67" s="521">
        <v>9.1199999999999992</v>
      </c>
      <c r="E67" s="218" t="s">
        <v>902</v>
      </c>
      <c r="F67" s="392">
        <v>46</v>
      </c>
    </row>
    <row r="68" spans="1:6" s="37" customFormat="1" ht="16.5" customHeight="1" x14ac:dyDescent="0.25">
      <c r="A68" s="390">
        <v>110</v>
      </c>
      <c r="B68" s="390"/>
      <c r="C68" s="389"/>
      <c r="D68" s="521">
        <v>9.1300000000000008</v>
      </c>
      <c r="E68" s="558" t="s">
        <v>426</v>
      </c>
      <c r="F68" s="392">
        <v>49</v>
      </c>
    </row>
    <row r="69" spans="1:6" s="720" customFormat="1" ht="16.5" customHeight="1" x14ac:dyDescent="0.25">
      <c r="A69" s="390">
        <v>108</v>
      </c>
      <c r="B69" s="390">
        <v>42</v>
      </c>
      <c r="C69" s="671"/>
      <c r="D69" s="521">
        <v>9.14</v>
      </c>
      <c r="E69" s="671" t="s">
        <v>1713</v>
      </c>
      <c r="F69" s="392">
        <v>50</v>
      </c>
    </row>
    <row r="70" spans="1:6" s="518" customFormat="1" ht="16.5" customHeight="1" x14ac:dyDescent="0.25">
      <c r="A70" s="390"/>
      <c r="B70" s="390"/>
      <c r="C70" s="515"/>
      <c r="D70" s="559" t="s">
        <v>72</v>
      </c>
      <c r="E70" s="559" t="s">
        <v>1308</v>
      </c>
      <c r="F70" s="392"/>
    </row>
    <row r="71" spans="1:6" s="37" customFormat="1" ht="16.5" customHeight="1" x14ac:dyDescent="0.25">
      <c r="A71" s="37">
        <v>124</v>
      </c>
      <c r="B71" s="390" t="s">
        <v>496</v>
      </c>
      <c r="C71" s="389"/>
      <c r="D71" s="521">
        <v>10.1</v>
      </c>
      <c r="E71" s="558" t="s">
        <v>639</v>
      </c>
      <c r="F71" s="392">
        <v>51</v>
      </c>
    </row>
    <row r="72" spans="1:6" s="37" customFormat="1" ht="16.5" customHeight="1" x14ac:dyDescent="0.25">
      <c r="A72" s="390" t="s">
        <v>496</v>
      </c>
      <c r="B72" s="390" t="s">
        <v>298</v>
      </c>
      <c r="C72" s="389"/>
      <c r="D72" s="521">
        <v>10.199999999999999</v>
      </c>
      <c r="E72" s="558" t="s">
        <v>333</v>
      </c>
      <c r="F72" s="392">
        <v>53</v>
      </c>
    </row>
    <row r="73" spans="1:6" s="400" customFormat="1" ht="16.5" customHeight="1" x14ac:dyDescent="0.25">
      <c r="A73" s="390">
        <v>101</v>
      </c>
      <c r="B73" s="396"/>
      <c r="C73" s="398"/>
      <c r="D73" s="521">
        <v>10.3</v>
      </c>
      <c r="E73" s="218" t="s">
        <v>1004</v>
      </c>
      <c r="F73" s="392">
        <v>54</v>
      </c>
    </row>
    <row r="74" spans="1:6" s="400" customFormat="1" ht="16.5" customHeight="1" x14ac:dyDescent="0.25">
      <c r="A74" s="390" t="s">
        <v>629</v>
      </c>
      <c r="B74" s="396"/>
      <c r="C74" s="398"/>
      <c r="D74" s="521">
        <v>10.4</v>
      </c>
      <c r="E74" s="218" t="s">
        <v>1289</v>
      </c>
      <c r="F74" s="392">
        <v>59</v>
      </c>
    </row>
    <row r="75" spans="1:6" s="37" customFormat="1" ht="16.5" customHeight="1" x14ac:dyDescent="0.25">
      <c r="A75" s="390" t="s">
        <v>496</v>
      </c>
      <c r="B75" s="396" t="s">
        <v>648</v>
      </c>
      <c r="C75" s="389"/>
      <c r="D75" s="521">
        <v>10.5</v>
      </c>
      <c r="E75" s="558" t="s">
        <v>183</v>
      </c>
      <c r="F75" s="392">
        <v>61</v>
      </c>
    </row>
    <row r="76" spans="1:6" s="37" customFormat="1" ht="16.5" customHeight="1" x14ac:dyDescent="0.25">
      <c r="A76" s="390" t="s">
        <v>722</v>
      </c>
      <c r="B76" s="390" t="s">
        <v>750</v>
      </c>
      <c r="C76" s="389"/>
      <c r="D76" s="521">
        <v>10.6</v>
      </c>
      <c r="E76" s="218" t="s">
        <v>822</v>
      </c>
      <c r="F76" s="392">
        <v>62</v>
      </c>
    </row>
    <row r="77" spans="1:6" s="344" customFormat="1" ht="16.5" customHeight="1" x14ac:dyDescent="0.25">
      <c r="A77" s="390">
        <v>13</v>
      </c>
      <c r="B77" s="396"/>
      <c r="C77" s="389"/>
      <c r="D77" s="521"/>
      <c r="E77" s="218"/>
      <c r="F77" s="392"/>
    </row>
    <row r="78" spans="1:6" s="483" customFormat="1" ht="16.5" customHeight="1" x14ac:dyDescent="0.25">
      <c r="A78" s="390" t="s">
        <v>496</v>
      </c>
      <c r="B78" s="390" t="s">
        <v>297</v>
      </c>
      <c r="C78" s="389"/>
      <c r="D78" s="558"/>
      <c r="E78" s="620" t="s">
        <v>285</v>
      </c>
      <c r="F78" s="392">
        <v>64</v>
      </c>
    </row>
    <row r="79" spans="1:6" s="37" customFormat="1" ht="16.5" customHeight="1" x14ac:dyDescent="0.25">
      <c r="A79" s="139"/>
      <c r="B79" s="139"/>
      <c r="D79" s="63"/>
      <c r="E79" s="659" t="s">
        <v>1325</v>
      </c>
      <c r="F79" s="392">
        <f>F78+1</f>
        <v>65</v>
      </c>
    </row>
    <row r="80" spans="1:6" s="37" customFormat="1" ht="15" customHeight="1" x14ac:dyDescent="0.25">
      <c r="A80" s="139"/>
      <c r="B80" s="139"/>
      <c r="D80" s="63"/>
      <c r="E80" s="660" t="s">
        <v>1336</v>
      </c>
      <c r="F80" s="392">
        <f>F79+1</f>
        <v>66</v>
      </c>
    </row>
    <row r="81" spans="1:6" s="57" customFormat="1" ht="15.6" x14ac:dyDescent="0.25">
      <c r="A81" s="139"/>
      <c r="B81" s="139"/>
      <c r="D81" s="63"/>
      <c r="F81" s="65"/>
    </row>
    <row r="82" spans="1:6" s="57" customFormat="1" ht="15.6" x14ac:dyDescent="0.25">
      <c r="A82" s="40"/>
      <c r="B82" s="40"/>
      <c r="D82" s="63"/>
      <c r="F82" s="65"/>
    </row>
    <row r="83" spans="1:6" s="63" customFormat="1" ht="15.6" x14ac:dyDescent="0.25">
      <c r="A83" s="58"/>
      <c r="B83" s="58"/>
      <c r="F83" s="65"/>
    </row>
    <row r="84" spans="1:6" s="63" customFormat="1" ht="15.6" x14ac:dyDescent="0.25">
      <c r="A84" s="58"/>
      <c r="B84" s="58"/>
      <c r="F84" s="65"/>
    </row>
    <row r="85" spans="1:6" s="63" customFormat="1" ht="15.6" x14ac:dyDescent="0.25">
      <c r="A85" s="65"/>
      <c r="B85" s="65"/>
      <c r="F85" s="65"/>
    </row>
    <row r="86" spans="1:6" s="63" customFormat="1" ht="15.6" x14ac:dyDescent="0.25">
      <c r="A86" s="65"/>
      <c r="B86" s="65"/>
      <c r="F86" s="65"/>
    </row>
    <row r="87" spans="1:6" s="63" customFormat="1" ht="15.6" x14ac:dyDescent="0.25">
      <c r="A87" s="65"/>
      <c r="B87" s="65"/>
      <c r="F87" s="65"/>
    </row>
    <row r="88" spans="1:6" s="63" customFormat="1" ht="15.6" x14ac:dyDescent="0.25">
      <c r="A88" s="65"/>
      <c r="B88" s="65"/>
      <c r="D88" s="62"/>
      <c r="F88" s="65"/>
    </row>
    <row r="89" spans="1:6" s="63" customFormat="1" ht="15.6" x14ac:dyDescent="0.25">
      <c r="A89" s="65"/>
      <c r="B89" s="65"/>
      <c r="D89" s="62"/>
      <c r="F89" s="65"/>
    </row>
    <row r="90" spans="1:6" s="63" customFormat="1" ht="15.6" x14ac:dyDescent="0.25">
      <c r="A90" s="65"/>
      <c r="B90" s="65"/>
      <c r="D90" s="62"/>
      <c r="F90" s="64"/>
    </row>
    <row r="91" spans="1:6" s="63" customFormat="1" ht="15.6" x14ac:dyDescent="0.25">
      <c r="A91" s="65"/>
      <c r="B91" s="65"/>
      <c r="D91" s="62"/>
      <c r="F91" s="64"/>
    </row>
    <row r="92" spans="1:6" s="63" customFormat="1" ht="15.6" x14ac:dyDescent="0.25">
      <c r="A92" s="65"/>
      <c r="B92" s="65"/>
      <c r="D92" s="62"/>
      <c r="F92" s="64"/>
    </row>
    <row r="93" spans="1:6" ht="15.6" x14ac:dyDescent="0.25">
      <c r="A93" s="65"/>
      <c r="B93" s="65"/>
    </row>
    <row r="94" spans="1:6" ht="15.6" x14ac:dyDescent="0.25">
      <c r="A94" s="65"/>
      <c r="B94" s="65"/>
    </row>
  </sheetData>
  <customSheetViews>
    <customSheetView guid="{7F222B88-8DE7-4209-9261-78C075D2F561}" scale="85" showPageBreaks="1" printArea="1" showRuler="0">
      <pane xSplit="2" ySplit="3" topLeftCell="C40" activePane="bottomRight" state="frozen"/>
      <selection pane="bottomRight" activeCell="D12" sqref="D12:E48"/>
      <pageMargins left="0.74803149606299213" right="0.62992125984251968" top="0.70866141732283472" bottom="0.70866141732283472" header="0.51181102362204722" footer="0.51181102362204722"/>
      <pageSetup paperSize="9" scale="67" orientation="portrait" r:id="rId1"/>
      <headerFooter alignWithMargins="0"/>
    </customSheetView>
  </customSheetViews>
  <mergeCells count="8">
    <mergeCell ref="D7:E7"/>
    <mergeCell ref="A1:F1"/>
    <mergeCell ref="A3:F3"/>
    <mergeCell ref="A4:A5"/>
    <mergeCell ref="B4:B5"/>
    <mergeCell ref="A2:F2"/>
    <mergeCell ref="D4:E5"/>
    <mergeCell ref="F4:F5"/>
  </mergeCells>
  <phoneticPr fontId="0" type="noConversion"/>
  <printOptions horizontalCentered="1"/>
  <pageMargins left="0.31496062992125984" right="0.31496062992125984" top="0.3543307086614173" bottom="0.3543307086614173" header="0.11811023622047244" footer="0.11811023622047244"/>
  <pageSetup paperSize="9" orientation="portrait" r:id="rId2"/>
  <headerFooter alignWithMargins="0">
    <oddFooter>&amp;C&amp;P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J391"/>
  <sheetViews>
    <sheetView showGridLines="0" view="pageBreakPreview" zoomScaleNormal="85" zoomScaleSheetLayoutView="100" workbookViewId="0">
      <pane ySplit="5" topLeftCell="A6" activePane="bottomLeft" state="frozen"/>
      <selection pane="bottomLeft"/>
    </sheetView>
  </sheetViews>
  <sheetFormatPr defaultColWidth="9" defaultRowHeight="14.4" x14ac:dyDescent="0.25"/>
  <cols>
    <col min="1" max="1" width="10.5" style="42" customWidth="1"/>
    <col min="2" max="2" width="12.8984375" style="42" customWidth="1"/>
    <col min="3" max="3" width="1" style="42" customWidth="1"/>
    <col min="4" max="4" width="51.8984375" style="61" customWidth="1"/>
    <col min="5" max="5" width="6.19921875" style="6" customWidth="1"/>
    <col min="6" max="6" width="10.09765625" style="12" customWidth="1"/>
    <col min="7" max="7" width="9.59765625" style="12" customWidth="1"/>
    <col min="8" max="8" width="10.5" style="6" bestFit="1" customWidth="1"/>
    <col min="9" max="16384" width="9" style="6"/>
  </cols>
  <sheetData>
    <row r="1" spans="1:10" x14ac:dyDescent="0.25">
      <c r="A1" s="146" t="s">
        <v>206</v>
      </c>
      <c r="B1" s="145" t="s">
        <v>207</v>
      </c>
      <c r="C1" s="86" t="str">
        <f>IF('Merge Details_Printing instr'!$B$11="Insert details here",'Merge Details_Printing instr'!$A$11,'Merge Details_Printing instr'!$B$11)</f>
        <v>Council Name</v>
      </c>
    </row>
    <row r="2" spans="1:10" x14ac:dyDescent="0.25">
      <c r="A2" s="504" t="s">
        <v>696</v>
      </c>
      <c r="B2" s="27"/>
      <c r="C2" s="83" t="str">
        <f>+'Merge Details_Printing instr'!A12</f>
        <v>2023-2024 Financial Report</v>
      </c>
      <c r="D2" s="75"/>
      <c r="E2" s="72"/>
      <c r="F2" s="90"/>
      <c r="G2" s="90"/>
      <c r="H2" s="7"/>
    </row>
    <row r="3" spans="1:10" x14ac:dyDescent="0.25">
      <c r="D3" s="77"/>
      <c r="E3" s="8"/>
      <c r="G3" s="9"/>
    </row>
    <row r="4" spans="1:10" ht="20.25" customHeight="1" x14ac:dyDescent="0.25">
      <c r="B4" s="198"/>
      <c r="C4" s="198"/>
      <c r="D4" s="2097" t="s">
        <v>1195</v>
      </c>
      <c r="E4" s="2097"/>
      <c r="F4" s="2097"/>
      <c r="G4" s="2097"/>
      <c r="H4" s="2097"/>
      <c r="I4" s="299"/>
    </row>
    <row r="5" spans="1:10" ht="20.25" customHeight="1" x14ac:dyDescent="0.25">
      <c r="B5" s="526"/>
      <c r="C5" s="526"/>
      <c r="D5" s="2098" t="str">
        <f>+'Merge Details_Printing instr'!A14</f>
        <v>For the Year Ended 30 June 2024</v>
      </c>
      <c r="E5" s="2098"/>
      <c r="F5" s="2098"/>
      <c r="G5" s="2098"/>
      <c r="H5" s="2098"/>
    </row>
    <row r="6" spans="1:10" ht="15.75" customHeight="1" x14ac:dyDescent="0.3">
      <c r="A6" s="139"/>
      <c r="B6" s="142"/>
      <c r="D6" s="780"/>
      <c r="E6" s="781"/>
      <c r="F6" s="782" t="s">
        <v>66</v>
      </c>
      <c r="G6" s="782" t="s">
        <v>65</v>
      </c>
      <c r="H6" s="782" t="s">
        <v>65</v>
      </c>
    </row>
    <row r="7" spans="1:10" s="14" customFormat="1" ht="15" x14ac:dyDescent="0.3">
      <c r="A7" s="137"/>
      <c r="B7" s="137"/>
      <c r="C7" s="42"/>
      <c r="D7" s="775"/>
      <c r="E7" s="783" t="s">
        <v>286</v>
      </c>
      <c r="F7" s="784">
        <f>G7</f>
        <v>2024</v>
      </c>
      <c r="G7" s="784">
        <f>+'Merge Details_Printing instr'!A19</f>
        <v>2024</v>
      </c>
      <c r="H7" s="784">
        <f>+'Merge Details_Printing instr'!A20</f>
        <v>2023</v>
      </c>
    </row>
    <row r="8" spans="1:10" s="14" customFormat="1" ht="15" x14ac:dyDescent="0.3">
      <c r="A8" s="253">
        <v>101</v>
      </c>
      <c r="B8" s="253" t="s">
        <v>998</v>
      </c>
      <c r="C8" s="42"/>
      <c r="D8" s="785" t="s">
        <v>994</v>
      </c>
      <c r="E8" s="783"/>
      <c r="F8" s="784" t="str">
        <f>+'Merge Details_Printing instr'!A24</f>
        <v>$'000</v>
      </c>
      <c r="G8" s="784" t="str">
        <f>+'Merge Details_Printing instr'!A24</f>
        <v>$'000</v>
      </c>
      <c r="H8" s="784" t="str">
        <f>+'Merge Details_Printing instr'!A24</f>
        <v>$'000</v>
      </c>
    </row>
    <row r="9" spans="1:10" s="14" customFormat="1" ht="15" x14ac:dyDescent="0.3">
      <c r="A9" s="137">
        <v>101</v>
      </c>
      <c r="B9" s="137" t="s">
        <v>673</v>
      </c>
      <c r="C9" s="42"/>
      <c r="D9" s="786" t="s">
        <v>1291</v>
      </c>
      <c r="E9" s="787"/>
      <c r="F9" s="788"/>
      <c r="G9" s="789"/>
      <c r="H9" s="789"/>
      <c r="I9" s="286" t="s">
        <v>795</v>
      </c>
    </row>
    <row r="10" spans="1:10" s="14" customFormat="1" ht="15" x14ac:dyDescent="0.3">
      <c r="A10" s="594">
        <v>118</v>
      </c>
      <c r="B10" s="253">
        <v>35</v>
      </c>
      <c r="C10" s="42"/>
      <c r="D10" s="790" t="s">
        <v>257</v>
      </c>
      <c r="E10" s="791">
        <f>'Notes 2 to 5'!E7</f>
        <v>2.1</v>
      </c>
      <c r="F10" s="792">
        <v>0</v>
      </c>
      <c r="G10" s="792">
        <f>+'Notes 2 to 5'!K19</f>
        <v>45796</v>
      </c>
      <c r="H10" s="792">
        <f>+'Notes 2 to 5'!M19</f>
        <v>42343</v>
      </c>
      <c r="I10" s="21"/>
    </row>
    <row r="11" spans="1:10" s="14" customFormat="1" ht="15" x14ac:dyDescent="0.3">
      <c r="A11" s="594">
        <v>118</v>
      </c>
      <c r="B11" s="253">
        <f>B10</f>
        <v>35</v>
      </c>
      <c r="C11" s="42"/>
      <c r="D11" s="790" t="s">
        <v>67</v>
      </c>
      <c r="E11" s="791">
        <f>'Notes 2 to 5'!E26</f>
        <v>2.2000000000000002</v>
      </c>
      <c r="F11" s="792">
        <v>0</v>
      </c>
      <c r="G11" s="792">
        <f>+'Notes 2 to 5'!K31</f>
        <v>2818</v>
      </c>
      <c r="H11" s="792">
        <f>+'Notes 2 to 5'!M31</f>
        <v>2703</v>
      </c>
      <c r="I11" s="21"/>
      <c r="J11" s="22"/>
    </row>
    <row r="12" spans="1:10" s="14" customFormat="1" ht="15" x14ac:dyDescent="0.3">
      <c r="A12" s="594">
        <v>118</v>
      </c>
      <c r="B12" s="253">
        <f>B11</f>
        <v>35</v>
      </c>
      <c r="C12" s="42"/>
      <c r="D12" s="790" t="s">
        <v>258</v>
      </c>
      <c r="E12" s="791">
        <f>'Notes 2 to 5'!E36</f>
        <v>2.3000000000000003</v>
      </c>
      <c r="F12" s="792">
        <v>0</v>
      </c>
      <c r="G12" s="792">
        <f>+'Notes 2 to 5'!K46</f>
        <v>7828</v>
      </c>
      <c r="H12" s="792">
        <f>+'Notes 2 to 5'!M46</f>
        <v>7442</v>
      </c>
      <c r="I12" s="21"/>
    </row>
    <row r="13" spans="1:10" s="14" customFormat="1" ht="15" x14ac:dyDescent="0.3">
      <c r="A13" s="594" t="s">
        <v>674</v>
      </c>
      <c r="B13" s="253" t="s">
        <v>793</v>
      </c>
      <c r="C13" s="42"/>
      <c r="D13" s="790" t="s">
        <v>616</v>
      </c>
      <c r="E13" s="791">
        <f>'Notes 2 to 5'!E59</f>
        <v>2.4000000000000004</v>
      </c>
      <c r="F13" s="792">
        <v>0</v>
      </c>
      <c r="G13" s="792">
        <f>'Notes 2 to 5'!K80</f>
        <v>12000</v>
      </c>
      <c r="H13" s="792">
        <f>'Notes 2 to 5'!M80</f>
        <v>13000</v>
      </c>
      <c r="I13" s="21"/>
    </row>
    <row r="14" spans="1:10" s="14" customFormat="1" ht="15" x14ac:dyDescent="0.3">
      <c r="A14" s="253" t="s">
        <v>674</v>
      </c>
      <c r="B14" s="253" t="s">
        <v>793</v>
      </c>
      <c r="C14" s="42"/>
      <c r="D14" s="790" t="s">
        <v>487</v>
      </c>
      <c r="E14" s="791">
        <f>'Notes 2 to 5'!E130</f>
        <v>2.5000000000000004</v>
      </c>
      <c r="F14" s="792">
        <v>0</v>
      </c>
      <c r="G14" s="792">
        <f>'Notes 2 to 5'!K141</f>
        <v>1562</v>
      </c>
      <c r="H14" s="792">
        <f>'Notes 2 to 5'!M141</f>
        <v>1254</v>
      </c>
      <c r="I14" s="21"/>
    </row>
    <row r="15" spans="1:10" s="14" customFormat="1" ht="15" x14ac:dyDescent="0.3">
      <c r="A15" s="253">
        <v>101</v>
      </c>
      <c r="B15" s="253">
        <v>99</v>
      </c>
      <c r="C15" s="42"/>
      <c r="D15" s="790" t="s">
        <v>567</v>
      </c>
      <c r="E15" s="791">
        <f>'Notes 2 to 5'!E158</f>
        <v>2.6000000000000005</v>
      </c>
      <c r="F15" s="792">
        <v>0</v>
      </c>
      <c r="G15" s="792">
        <f>'Notes 2 to 5'!K162</f>
        <v>2204</v>
      </c>
      <c r="H15" s="792">
        <f>'Notes 2 to 5'!M162</f>
        <v>2042</v>
      </c>
      <c r="I15" s="21"/>
    </row>
    <row r="16" spans="1:10" s="14" customFormat="1" ht="15" x14ac:dyDescent="0.3">
      <c r="A16" s="253">
        <v>101</v>
      </c>
      <c r="B16" s="253">
        <v>99</v>
      </c>
      <c r="C16" s="42"/>
      <c r="D16" s="790" t="s">
        <v>214</v>
      </c>
      <c r="E16" s="791">
        <f>'Notes 2 to 5'!E170</f>
        <v>2.7000000000000006</v>
      </c>
      <c r="F16" s="792">
        <v>0</v>
      </c>
      <c r="G16" s="792">
        <f>'Notes 2 to 5'!K178</f>
        <v>5000</v>
      </c>
      <c r="H16" s="792">
        <f>'Notes 2 to 5'!M178</f>
        <v>1500</v>
      </c>
      <c r="I16" s="21"/>
    </row>
    <row r="17" spans="1:10" s="14" customFormat="1" ht="15" x14ac:dyDescent="0.3">
      <c r="A17" s="253">
        <v>101</v>
      </c>
      <c r="B17" s="253">
        <v>99</v>
      </c>
      <c r="C17" s="42"/>
      <c r="D17" s="794" t="s">
        <v>1349</v>
      </c>
      <c r="E17" s="791" t="str">
        <f>'Notes 2 to 5'!E216&amp;", "&amp;'Notes 2 to 5'!E566</f>
        <v>2.9, 5.2</v>
      </c>
      <c r="F17" s="795">
        <v>0</v>
      </c>
      <c r="G17" s="795">
        <f>'Notes 2 to 5'!K220</f>
        <v>0</v>
      </c>
      <c r="H17" s="795">
        <f>'Notes 2 to 5'!M220</f>
        <v>0</v>
      </c>
      <c r="I17" s="21"/>
    </row>
    <row r="18" spans="1:10" s="14" customFormat="1" ht="15" x14ac:dyDescent="0.3">
      <c r="A18" s="253"/>
      <c r="B18" s="253"/>
      <c r="C18" s="42"/>
      <c r="D18" s="778"/>
      <c r="E18" s="796"/>
      <c r="F18" s="797">
        <f>SUM(F9:F17)</f>
        <v>0</v>
      </c>
      <c r="G18" s="797">
        <f>SUM(G9:G17)</f>
        <v>77208</v>
      </c>
      <c r="H18" s="797">
        <f>SUM(H9:H17)</f>
        <v>70284</v>
      </c>
      <c r="I18" s="286"/>
    </row>
    <row r="19" spans="1:10" s="14" customFormat="1" ht="15" x14ac:dyDescent="0.3">
      <c r="A19" s="253"/>
      <c r="B19" s="253"/>
      <c r="C19" s="42"/>
      <c r="D19" s="798" t="s">
        <v>794</v>
      </c>
      <c r="E19" s="796"/>
      <c r="F19" s="799"/>
      <c r="G19" s="792"/>
      <c r="H19" s="792"/>
      <c r="I19" s="286"/>
    </row>
    <row r="20" spans="1:10" s="14" customFormat="1" ht="15" x14ac:dyDescent="0.3">
      <c r="A20" s="253" t="s">
        <v>674</v>
      </c>
      <c r="B20" s="253" t="s">
        <v>793</v>
      </c>
      <c r="C20" s="42"/>
      <c r="D20" s="794" t="s">
        <v>314</v>
      </c>
      <c r="E20" s="791">
        <f>'Notes 2 to 5'!E59</f>
        <v>2.4000000000000004</v>
      </c>
      <c r="F20" s="792">
        <v>0</v>
      </c>
      <c r="G20" s="792">
        <f>'Notes 2 to 5'!K90</f>
        <v>7600</v>
      </c>
      <c r="H20" s="792">
        <f>'Notes 2 to 5'!M90</f>
        <v>3500</v>
      </c>
      <c r="I20" s="286" t="s">
        <v>795</v>
      </c>
    </row>
    <row r="21" spans="1:10" s="14" customFormat="1" ht="15" x14ac:dyDescent="0.3">
      <c r="A21" s="253">
        <v>1004</v>
      </c>
      <c r="B21" s="253">
        <v>18</v>
      </c>
      <c r="C21" s="42"/>
      <c r="D21" s="794" t="s">
        <v>79</v>
      </c>
      <c r="E21" s="791">
        <f>'Notes 2 to 5'!E130</f>
        <v>2.5000000000000004</v>
      </c>
      <c r="F21" s="792">
        <v>0</v>
      </c>
      <c r="G21" s="792">
        <f>'Notes 2 to 5'!K150</f>
        <v>449</v>
      </c>
      <c r="H21" s="792">
        <f>'Notes 2 to 5'!M150</f>
        <v>359</v>
      </c>
      <c r="I21" s="286" t="s">
        <v>795</v>
      </c>
    </row>
    <row r="22" spans="1:10" s="14" customFormat="1" ht="15" x14ac:dyDescent="0.3">
      <c r="A22" s="253">
        <v>116</v>
      </c>
      <c r="B22" s="253">
        <v>68</v>
      </c>
      <c r="C22" s="42"/>
      <c r="D22" s="794" t="s">
        <v>0</v>
      </c>
      <c r="E22" s="791">
        <f>'Notes 2 to 5'!E206</f>
        <v>2.8000000000000007</v>
      </c>
      <c r="F22" s="792">
        <v>0</v>
      </c>
      <c r="G22" s="792">
        <f>+'Notes 2 to 5'!K209</f>
        <v>479</v>
      </c>
      <c r="H22" s="792">
        <f>+'Notes 2 to 5'!M209</f>
        <v>0</v>
      </c>
      <c r="I22" s="286" t="s">
        <v>795</v>
      </c>
    </row>
    <row r="23" spans="1:10" s="14" customFormat="1" ht="33" customHeight="1" x14ac:dyDescent="0.3">
      <c r="A23" s="253">
        <v>101</v>
      </c>
      <c r="B23" s="253" t="s">
        <v>327</v>
      </c>
      <c r="C23" s="42"/>
      <c r="D23" s="794" t="s">
        <v>394</v>
      </c>
      <c r="E23" s="791">
        <f>'Notes 2 to 5'!E522</f>
        <v>5.0999999999999996</v>
      </c>
      <c r="F23" s="792">
        <v>0</v>
      </c>
      <c r="G23" s="792">
        <v>0</v>
      </c>
      <c r="H23" s="792">
        <v>0</v>
      </c>
      <c r="I23" s="291" t="s">
        <v>795</v>
      </c>
    </row>
    <row r="24" spans="1:10" s="14" customFormat="1" ht="15" x14ac:dyDescent="0.3">
      <c r="A24" s="253">
        <v>140</v>
      </c>
      <c r="B24" s="253">
        <v>75</v>
      </c>
      <c r="C24" s="42"/>
      <c r="D24" s="794" t="s">
        <v>138</v>
      </c>
      <c r="E24" s="791">
        <f>'Note 6 to 8'!E5</f>
        <v>6.1999999999999993</v>
      </c>
      <c r="F24" s="800">
        <v>0</v>
      </c>
      <c r="G24" s="795">
        <f>'Note 6 to 8'!Q9</f>
        <v>1000</v>
      </c>
      <c r="H24" s="795">
        <f>'Note 6 to 8'!S9</f>
        <v>0</v>
      </c>
      <c r="I24" s="286" t="s">
        <v>795</v>
      </c>
    </row>
    <row r="25" spans="1:10" s="14" customFormat="1" ht="15" x14ac:dyDescent="0.3">
      <c r="A25" s="253"/>
      <c r="B25" s="253"/>
      <c r="C25" s="42"/>
      <c r="D25" s="220"/>
      <c r="E25" s="136"/>
      <c r="F25" s="801">
        <f>SUM(F20:F24)</f>
        <v>0</v>
      </c>
      <c r="G25" s="801">
        <f>SUM(G20:G24)</f>
        <v>9528</v>
      </c>
      <c r="H25" s="801">
        <f>SUM(H20:H24)</f>
        <v>3859</v>
      </c>
      <c r="I25" s="286"/>
    </row>
    <row r="26" spans="1:10" s="14" customFormat="1" ht="15" x14ac:dyDescent="0.3">
      <c r="A26" s="253">
        <v>101</v>
      </c>
      <c r="B26" s="253">
        <v>8</v>
      </c>
      <c r="C26" s="42"/>
      <c r="D26" s="785" t="s">
        <v>995</v>
      </c>
      <c r="E26" s="160"/>
      <c r="F26" s="801">
        <f>F18+F25</f>
        <v>0</v>
      </c>
      <c r="G26" s="801">
        <f>G18+G25</f>
        <v>86736</v>
      </c>
      <c r="H26" s="801">
        <f>H18+H25</f>
        <v>74143</v>
      </c>
      <c r="I26" s="405"/>
      <c r="J26" s="246"/>
    </row>
    <row r="27" spans="1:10" s="14" customFormat="1" ht="15" x14ac:dyDescent="0.3">
      <c r="A27" s="253"/>
      <c r="B27" s="253"/>
      <c r="D27" s="802"/>
      <c r="E27" s="136"/>
      <c r="F27" s="792"/>
      <c r="G27" s="803"/>
      <c r="H27" s="792"/>
      <c r="I27" s="224"/>
      <c r="J27" s="246"/>
    </row>
    <row r="28" spans="1:10" s="14" customFormat="1" ht="15" x14ac:dyDescent="0.3">
      <c r="A28" s="253">
        <v>101</v>
      </c>
      <c r="B28" s="253" t="s">
        <v>998</v>
      </c>
      <c r="C28" s="42"/>
      <c r="D28" s="786" t="s">
        <v>996</v>
      </c>
      <c r="E28" s="804"/>
      <c r="F28" s="792"/>
      <c r="G28" s="792"/>
      <c r="H28" s="792"/>
      <c r="I28" s="405"/>
      <c r="J28" s="246"/>
    </row>
    <row r="29" spans="1:10" s="14" customFormat="1" ht="15" x14ac:dyDescent="0.3">
      <c r="A29" s="253">
        <v>101</v>
      </c>
      <c r="B29" s="253" t="s">
        <v>792</v>
      </c>
      <c r="C29" s="42"/>
      <c r="D29" s="790" t="s">
        <v>107</v>
      </c>
      <c r="E29" s="791">
        <f>'Notes 2 to 5'!E229</f>
        <v>3.1</v>
      </c>
      <c r="F29" s="805">
        <v>0</v>
      </c>
      <c r="G29" s="805">
        <f>-'Notes 2 to 5'!K237</f>
        <v>-35367</v>
      </c>
      <c r="H29" s="805">
        <f>-'Notes 2 to 5'!M237</f>
        <v>-34421</v>
      </c>
      <c r="I29" s="21"/>
    </row>
    <row r="30" spans="1:10" s="14" customFormat="1" ht="15" x14ac:dyDescent="0.3">
      <c r="A30" s="253">
        <v>101</v>
      </c>
      <c r="B30" s="253">
        <v>99</v>
      </c>
      <c r="C30" s="42"/>
      <c r="D30" s="790" t="s">
        <v>77</v>
      </c>
      <c r="E30" s="791">
        <f>'Notes 2 to 5'!E245</f>
        <v>3.2</v>
      </c>
      <c r="F30" s="805">
        <v>0</v>
      </c>
      <c r="G30" s="805">
        <f>-'Notes 2 to 5'!K253</f>
        <v>-20939</v>
      </c>
      <c r="H30" s="805">
        <f>-'Notes 2 to 5'!M253</f>
        <v>-21393</v>
      </c>
      <c r="I30" s="21"/>
    </row>
    <row r="31" spans="1:10" s="14" customFormat="1" ht="15" x14ac:dyDescent="0.3">
      <c r="A31" s="253">
        <v>101</v>
      </c>
      <c r="B31" s="253">
        <v>99</v>
      </c>
      <c r="C31" s="42"/>
      <c r="D31" s="794" t="s">
        <v>736</v>
      </c>
      <c r="E31" s="791">
        <f>'Notes 2 to 5'!E261</f>
        <v>3.3000000000000003</v>
      </c>
      <c r="F31" s="805">
        <v>0</v>
      </c>
      <c r="G31" s="805">
        <f>-'Notes 2 to 5'!K264</f>
        <v>-967</v>
      </c>
      <c r="H31" s="805">
        <f>-'Notes 2 to 5'!M264</f>
        <v>-3440</v>
      </c>
      <c r="I31" s="600"/>
    </row>
    <row r="32" spans="1:10" s="14" customFormat="1" ht="15" x14ac:dyDescent="0.3">
      <c r="A32" s="253">
        <v>101</v>
      </c>
      <c r="B32" s="253" t="s">
        <v>792</v>
      </c>
      <c r="C32" s="42"/>
      <c r="D32" s="790" t="s">
        <v>75</v>
      </c>
      <c r="E32" s="791">
        <f>'Notes 2 to 5'!E271</f>
        <v>3.4000000000000004</v>
      </c>
      <c r="F32" s="805">
        <v>0</v>
      </c>
      <c r="G32" s="805">
        <f>-'Notes 2 to 5'!K299</f>
        <v>-19187</v>
      </c>
      <c r="H32" s="805">
        <f>-'Notes 2 to 5'!M299</f>
        <v>-18809</v>
      </c>
      <c r="I32" s="301"/>
    </row>
    <row r="33" spans="1:9" s="14" customFormat="1" ht="15" x14ac:dyDescent="0.3">
      <c r="A33" s="253">
        <v>101</v>
      </c>
      <c r="B33" s="253" t="s">
        <v>675</v>
      </c>
      <c r="C33" s="42"/>
      <c r="D33" s="790" t="s">
        <v>175</v>
      </c>
      <c r="E33" s="791">
        <f>'Notes 2 to 5'!E350</f>
        <v>3.5000000000000004</v>
      </c>
      <c r="F33" s="805">
        <v>0</v>
      </c>
      <c r="G33" s="805">
        <f>-'Notes 2 to 5'!K357</f>
        <v>-697</v>
      </c>
      <c r="H33" s="805">
        <f>-'Notes 2 to 5'!M357</f>
        <v>-770</v>
      </c>
      <c r="I33" s="21"/>
    </row>
    <row r="34" spans="1:9" s="14" customFormat="1" ht="15" x14ac:dyDescent="0.3">
      <c r="A34" s="253">
        <v>101</v>
      </c>
      <c r="B34" s="253">
        <v>99</v>
      </c>
      <c r="C34" s="42"/>
      <c r="D34" s="790" t="s">
        <v>573</v>
      </c>
      <c r="E34" s="791">
        <f>'Notes 2 to 5'!E370</f>
        <v>3.6000000000000005</v>
      </c>
      <c r="F34" s="806">
        <v>0</v>
      </c>
      <c r="G34" s="806">
        <f>-'Notes 2 to 5'!K382</f>
        <v>-5309</v>
      </c>
      <c r="H34" s="806">
        <f>-+'Notes 2 to 5'!M382</f>
        <v>-4485</v>
      </c>
      <c r="I34" s="21"/>
    </row>
    <row r="35" spans="1:9" s="14" customFormat="1" ht="15" x14ac:dyDescent="0.3">
      <c r="A35" s="253"/>
      <c r="B35" s="253"/>
      <c r="C35" s="42"/>
      <c r="D35" s="790"/>
      <c r="E35" s="791"/>
      <c r="F35" s="806"/>
      <c r="G35" s="806"/>
      <c r="H35" s="806"/>
      <c r="I35" s="21"/>
    </row>
    <row r="36" spans="1:9" s="14" customFormat="1" ht="15" x14ac:dyDescent="0.3">
      <c r="A36" s="253">
        <v>101</v>
      </c>
      <c r="B36" s="253">
        <f>B26</f>
        <v>8</v>
      </c>
      <c r="C36" s="42"/>
      <c r="D36" s="802" t="s">
        <v>997</v>
      </c>
      <c r="E36" s="807"/>
      <c r="F36" s="808">
        <f>SUM(F29:F34)</f>
        <v>0</v>
      </c>
      <c r="G36" s="808">
        <f>SUM(G29:G34)</f>
        <v>-82466</v>
      </c>
      <c r="H36" s="808">
        <f>SUM(H29:H34)</f>
        <v>-83318</v>
      </c>
      <c r="I36" s="286"/>
    </row>
    <row r="37" spans="1:9" s="14" customFormat="1" ht="15" x14ac:dyDescent="0.3">
      <c r="A37" s="253">
        <v>101</v>
      </c>
      <c r="B37" s="253">
        <v>8</v>
      </c>
      <c r="C37" s="42"/>
      <c r="D37" s="802" t="s">
        <v>1179</v>
      </c>
      <c r="E37" s="807"/>
      <c r="F37" s="808">
        <f>F36+F26</f>
        <v>0</v>
      </c>
      <c r="G37" s="808">
        <f>G36+G26</f>
        <v>4270</v>
      </c>
      <c r="H37" s="808">
        <f>H36+H26</f>
        <v>-9175</v>
      </c>
      <c r="I37" s="435"/>
    </row>
    <row r="38" spans="1:9" s="14" customFormat="1" ht="15" x14ac:dyDescent="0.3">
      <c r="A38" s="253"/>
      <c r="B38" s="253"/>
      <c r="C38" s="42"/>
      <c r="D38" s="802" t="s">
        <v>1180</v>
      </c>
      <c r="E38" s="807"/>
      <c r="F38" s="808">
        <v>0</v>
      </c>
      <c r="G38" s="808">
        <v>0</v>
      </c>
      <c r="H38" s="808">
        <v>0</v>
      </c>
      <c r="I38" s="435"/>
    </row>
    <row r="39" spans="1:9" s="14" customFormat="1" ht="15.6" thickBot="1" x14ac:dyDescent="0.35">
      <c r="A39" s="253"/>
      <c r="B39" s="253"/>
      <c r="C39" s="42"/>
      <c r="D39" s="802" t="s">
        <v>1181</v>
      </c>
      <c r="E39" s="807"/>
      <c r="F39" s="811">
        <f>SUM(F37:F38)</f>
        <v>0</v>
      </c>
      <c r="G39" s="811">
        <f>SUM(G37:G38)</f>
        <v>4270</v>
      </c>
      <c r="H39" s="811">
        <f>SUM(H37:H38)</f>
        <v>-9175</v>
      </c>
      <c r="I39" s="286"/>
    </row>
    <row r="40" spans="1:9" s="14" customFormat="1" ht="15" x14ac:dyDescent="0.3">
      <c r="A40" s="253"/>
      <c r="B40" s="253"/>
      <c r="C40" s="42"/>
      <c r="D40" s="802"/>
      <c r="E40" s="807"/>
      <c r="F40" s="792"/>
      <c r="G40" s="805"/>
      <c r="H40" s="805"/>
      <c r="I40" s="21"/>
    </row>
    <row r="41" spans="1:9" s="14" customFormat="1" ht="15" x14ac:dyDescent="0.3">
      <c r="A41" s="253"/>
      <c r="B41" s="253"/>
      <c r="C41" s="42"/>
      <c r="D41" s="802"/>
      <c r="E41" s="807"/>
      <c r="F41" s="792"/>
      <c r="G41" s="805"/>
      <c r="H41" s="805"/>
      <c r="I41" s="21"/>
    </row>
    <row r="42" spans="1:9" s="14" customFormat="1" ht="15" x14ac:dyDescent="0.3">
      <c r="A42" s="253"/>
      <c r="B42" s="253"/>
      <c r="C42" s="42"/>
      <c r="D42" s="802"/>
      <c r="E42" s="807"/>
      <c r="F42" s="792"/>
      <c r="G42" s="805"/>
      <c r="H42" s="805"/>
      <c r="I42" s="21"/>
    </row>
    <row r="43" spans="1:9" s="14" customFormat="1" ht="20.399999999999999" x14ac:dyDescent="0.25">
      <c r="A43" s="253">
        <v>101</v>
      </c>
      <c r="B43" s="253" t="s">
        <v>781</v>
      </c>
      <c r="C43" s="42"/>
      <c r="D43" s="2097" t="s">
        <v>1195</v>
      </c>
      <c r="E43" s="2097"/>
      <c r="F43" s="2097"/>
      <c r="G43" s="2097"/>
      <c r="H43" s="2097"/>
      <c r="I43" s="21"/>
    </row>
    <row r="44" spans="1:9" s="14" customFormat="1" ht="20.399999999999999" x14ac:dyDescent="0.25">
      <c r="A44" s="253">
        <v>101</v>
      </c>
      <c r="B44" s="253" t="s">
        <v>781</v>
      </c>
      <c r="C44" s="42"/>
      <c r="D44" s="2098" t="str">
        <f>+'Merge Details_Printing instr'!A15</f>
        <v>For the Year Ended 30 June 2024 (Continued)</v>
      </c>
      <c r="E44" s="2098"/>
      <c r="F44" s="2098"/>
      <c r="G44" s="2098"/>
      <c r="H44" s="2098"/>
      <c r="I44" s="21"/>
    </row>
    <row r="45" spans="1:9" s="14" customFormat="1" ht="16.5" customHeight="1" x14ac:dyDescent="0.3">
      <c r="A45" s="253"/>
      <c r="B45" s="253"/>
      <c r="C45" s="42"/>
      <c r="D45" s="774"/>
      <c r="E45" s="781"/>
      <c r="F45" s="782" t="s">
        <v>66</v>
      </c>
      <c r="G45" s="782" t="s">
        <v>65</v>
      </c>
      <c r="H45" s="782" t="s">
        <v>65</v>
      </c>
      <c r="I45" s="21"/>
    </row>
    <row r="46" spans="1:9" s="14" customFormat="1" ht="16.5" customHeight="1" x14ac:dyDescent="0.3">
      <c r="A46" s="253"/>
      <c r="B46" s="253"/>
      <c r="C46" s="42"/>
      <c r="D46" s="774"/>
      <c r="E46" s="783" t="s">
        <v>286</v>
      </c>
      <c r="F46" s="784">
        <f>G7</f>
        <v>2024</v>
      </c>
      <c r="G46" s="784">
        <f>+'Merge Details_Printing instr'!A19</f>
        <v>2024</v>
      </c>
      <c r="H46" s="784">
        <f>+'Merge Details_Printing instr'!A20</f>
        <v>2023</v>
      </c>
      <c r="I46" s="21"/>
    </row>
    <row r="47" spans="1:9" s="14" customFormat="1" ht="16.5" customHeight="1" x14ac:dyDescent="0.3">
      <c r="A47" s="253"/>
      <c r="B47" s="253"/>
      <c r="C47" s="42"/>
      <c r="D47" s="774"/>
      <c r="E47" s="783"/>
      <c r="F47" s="784" t="str">
        <f>+'Merge Details_Printing instr'!A24</f>
        <v>$'000</v>
      </c>
      <c r="G47" s="784" t="str">
        <f>+'Merge Details_Printing instr'!A24</f>
        <v>$'000</v>
      </c>
      <c r="H47" s="784" t="str">
        <f>+'Merge Details_Printing instr'!A24</f>
        <v>$'000</v>
      </c>
      <c r="I47" s="21"/>
    </row>
    <row r="48" spans="1:9" s="14" customFormat="1" ht="20.399999999999999" x14ac:dyDescent="0.25">
      <c r="A48" s="253"/>
      <c r="B48" s="253"/>
      <c r="C48" s="42"/>
      <c r="D48" s="774"/>
      <c r="E48" s="774"/>
      <c r="F48" s="774"/>
      <c r="G48" s="774"/>
      <c r="H48" s="774"/>
      <c r="I48" s="21"/>
    </row>
    <row r="49" spans="1:10" s="14" customFormat="1" ht="21" thickBot="1" x14ac:dyDescent="0.35">
      <c r="A49" s="253"/>
      <c r="B49" s="253"/>
      <c r="C49" s="42"/>
      <c r="D49" s="802" t="s">
        <v>1181</v>
      </c>
      <c r="E49" s="774"/>
      <c r="F49" s="811">
        <f>F39</f>
        <v>0</v>
      </c>
      <c r="G49" s="811">
        <f>G39</f>
        <v>4270</v>
      </c>
      <c r="H49" s="811">
        <f>H39</f>
        <v>-9175</v>
      </c>
      <c r="I49" s="21"/>
    </row>
    <row r="50" spans="1:10" s="14" customFormat="1" ht="15" x14ac:dyDescent="0.3">
      <c r="A50" s="253">
        <v>7</v>
      </c>
      <c r="B50" s="253" t="s">
        <v>676</v>
      </c>
      <c r="C50" s="42"/>
      <c r="D50" s="802" t="s">
        <v>421</v>
      </c>
      <c r="E50" s="807"/>
      <c r="F50" s="792"/>
      <c r="G50" s="792"/>
      <c r="H50" s="792"/>
      <c r="I50" s="21"/>
    </row>
    <row r="51" spans="1:10" x14ac:dyDescent="0.3">
      <c r="D51" s="812" t="s">
        <v>1793</v>
      </c>
      <c r="E51" s="813"/>
      <c r="F51" s="792"/>
      <c r="G51" s="792"/>
      <c r="H51" s="792"/>
    </row>
    <row r="52" spans="1:10" ht="20.25" customHeight="1" x14ac:dyDescent="0.3">
      <c r="B52" s="198"/>
      <c r="C52" s="198"/>
      <c r="D52" s="814" t="s">
        <v>1570</v>
      </c>
      <c r="E52" s="813"/>
      <c r="F52" s="799">
        <v>0</v>
      </c>
      <c r="G52" s="792">
        <v>0</v>
      </c>
      <c r="H52" s="792">
        <v>0</v>
      </c>
      <c r="I52" s="299"/>
    </row>
    <row r="53" spans="1:10" s="14" customFormat="1" ht="15" x14ac:dyDescent="0.3">
      <c r="A53" s="253">
        <v>101</v>
      </c>
      <c r="B53" s="253" t="s">
        <v>777</v>
      </c>
      <c r="C53" s="42"/>
      <c r="D53" s="798" t="s">
        <v>1569</v>
      </c>
      <c r="E53" s="807"/>
      <c r="F53" s="792"/>
      <c r="G53" s="792"/>
      <c r="H53" s="792"/>
      <c r="I53" s="286" t="s">
        <v>795</v>
      </c>
    </row>
    <row r="54" spans="1:10" s="14" customFormat="1" ht="15" x14ac:dyDescent="0.3">
      <c r="A54" s="253">
        <v>7</v>
      </c>
      <c r="B54" s="253" t="s">
        <v>1377</v>
      </c>
      <c r="C54" s="38"/>
      <c r="D54" s="794" t="s">
        <v>1409</v>
      </c>
      <c r="E54" s="791" t="str">
        <f>'Notes 2 to 5'!E566&amp;","&amp;'Note 9'!D5</f>
        <v>5.2,9.1</v>
      </c>
      <c r="F54" s="799">
        <v>0</v>
      </c>
      <c r="G54" s="805">
        <f>'Notes 2 to 5'!K569</f>
        <v>110</v>
      </c>
      <c r="H54" s="792">
        <f>'Notes 2 to 5'!M569</f>
        <v>840</v>
      </c>
      <c r="I54" s="497" t="s">
        <v>1352</v>
      </c>
      <c r="J54" s="605" t="s">
        <v>1393</v>
      </c>
    </row>
    <row r="55" spans="1:10" s="14" customFormat="1" ht="17.25" customHeight="1" x14ac:dyDescent="0.3">
      <c r="A55" s="253">
        <v>116</v>
      </c>
      <c r="B55" s="253" t="s">
        <v>159</v>
      </c>
      <c r="C55" s="38"/>
      <c r="D55" s="796" t="s">
        <v>1166</v>
      </c>
      <c r="E55" s="791">
        <f>'Note 9'!D5</f>
        <v>9.1</v>
      </c>
      <c r="F55" s="799">
        <v>0</v>
      </c>
      <c r="G55" s="792">
        <f>SUM('Note 9'!H22:I22)</f>
        <v>6637</v>
      </c>
      <c r="H55" s="792">
        <f>SUM('Note 9'!H39:I39)</f>
        <v>0</v>
      </c>
      <c r="I55" s="497" t="s">
        <v>1351</v>
      </c>
    </row>
    <row r="56" spans="1:10" s="14" customFormat="1" ht="17.25" customHeight="1" x14ac:dyDescent="0.3">
      <c r="A56" s="253">
        <v>119</v>
      </c>
      <c r="B56" s="253" t="s">
        <v>422</v>
      </c>
      <c r="C56" s="38"/>
      <c r="D56" s="796" t="s">
        <v>756</v>
      </c>
      <c r="E56" s="807"/>
      <c r="F56" s="799">
        <v>0</v>
      </c>
      <c r="G56" s="792">
        <v>0</v>
      </c>
      <c r="H56" s="792">
        <v>0</v>
      </c>
      <c r="I56" s="21"/>
    </row>
    <row r="57" spans="1:10" s="14" customFormat="1" ht="32.25" customHeight="1" x14ac:dyDescent="0.3">
      <c r="A57" s="253">
        <v>101</v>
      </c>
      <c r="B57" s="253" t="s">
        <v>778</v>
      </c>
      <c r="C57" s="38"/>
      <c r="D57" s="794" t="s">
        <v>178</v>
      </c>
      <c r="E57" s="807"/>
      <c r="F57" s="795">
        <v>0</v>
      </c>
      <c r="G57" s="795">
        <v>0</v>
      </c>
      <c r="H57" s="795">
        <v>0</v>
      </c>
      <c r="I57" s="21"/>
    </row>
    <row r="58" spans="1:10" s="14" customFormat="1" ht="15" x14ac:dyDescent="0.3">
      <c r="A58" s="253"/>
      <c r="B58" s="253"/>
      <c r="C58" s="38"/>
      <c r="D58" s="802" t="s">
        <v>779</v>
      </c>
      <c r="E58" s="807"/>
      <c r="F58" s="808">
        <f>SUM(F52:F57)</f>
        <v>0</v>
      </c>
      <c r="G58" s="808">
        <f>SUM(G52:G57)</f>
        <v>6747</v>
      </c>
      <c r="H58" s="808">
        <f>SUM(H52:H57)</f>
        <v>840</v>
      </c>
      <c r="I58" s="497"/>
    </row>
    <row r="59" spans="1:10" s="14" customFormat="1" ht="16.5" customHeight="1" thickBot="1" x14ac:dyDescent="0.35">
      <c r="A59" s="253">
        <v>101</v>
      </c>
      <c r="B59" s="253" t="s">
        <v>780</v>
      </c>
      <c r="C59" s="42"/>
      <c r="D59" s="785" t="s">
        <v>976</v>
      </c>
      <c r="E59" s="160"/>
      <c r="F59" s="811">
        <f>F39+F58</f>
        <v>0</v>
      </c>
      <c r="G59" s="811">
        <f>G39+G58</f>
        <v>11017</v>
      </c>
      <c r="H59" s="811">
        <f>H39+H58</f>
        <v>-8335</v>
      </c>
      <c r="I59" s="497"/>
    </row>
    <row r="60" spans="1:10" s="14" customFormat="1" ht="9.75" customHeight="1" x14ac:dyDescent="0.3">
      <c r="A60" s="253"/>
      <c r="B60" s="253"/>
      <c r="C60" s="42"/>
      <c r="D60" s="815"/>
      <c r="E60" s="160"/>
      <c r="F60" s="792"/>
      <c r="G60" s="816"/>
      <c r="H60" s="793"/>
    </row>
    <row r="61" spans="1:10" s="14" customFormat="1" ht="15" x14ac:dyDescent="0.3">
      <c r="A61" s="253"/>
      <c r="B61" s="253"/>
      <c r="D61" s="817" t="s">
        <v>63</v>
      </c>
      <c r="E61" s="220"/>
      <c r="F61" s="220"/>
      <c r="G61" s="220"/>
      <c r="H61" s="793"/>
    </row>
    <row r="62" spans="1:10" s="14" customFormat="1" ht="20.25" customHeight="1" x14ac:dyDescent="0.25"/>
    <row r="63" spans="1:10" s="59" customFormat="1" x14ac:dyDescent="0.25">
      <c r="I63" s="40"/>
    </row>
    <row r="64" spans="1:10" s="59" customFormat="1" x14ac:dyDescent="0.25">
      <c r="I64" s="40"/>
    </row>
    <row r="65" spans="9:9" s="59" customFormat="1" x14ac:dyDescent="0.25">
      <c r="I65" s="40"/>
    </row>
    <row r="66" spans="9:9" s="59" customFormat="1" x14ac:dyDescent="0.25">
      <c r="I66" s="40"/>
    </row>
    <row r="67" spans="9:9" s="59" customFormat="1" x14ac:dyDescent="0.25">
      <c r="I67" s="40"/>
    </row>
    <row r="68" spans="9:9" s="59" customFormat="1" x14ac:dyDescent="0.25">
      <c r="I68" s="40"/>
    </row>
    <row r="69" spans="9:9" s="59" customFormat="1" x14ac:dyDescent="0.25">
      <c r="I69" s="40"/>
    </row>
    <row r="70" spans="9:9" s="59" customFormat="1" x14ac:dyDescent="0.25">
      <c r="I70" s="40"/>
    </row>
    <row r="71" spans="9:9" s="59" customFormat="1" x14ac:dyDescent="0.25">
      <c r="I71" s="66"/>
    </row>
    <row r="72" spans="9:9" s="59" customFormat="1" x14ac:dyDescent="0.25">
      <c r="I72" s="66"/>
    </row>
    <row r="73" spans="9:9" s="59" customFormat="1" x14ac:dyDescent="0.25">
      <c r="I73" s="66"/>
    </row>
    <row r="74" spans="9:9" s="59" customFormat="1" x14ac:dyDescent="0.25">
      <c r="I74" s="66"/>
    </row>
    <row r="75" spans="9:9" s="59" customFormat="1" x14ac:dyDescent="0.25">
      <c r="I75" s="40"/>
    </row>
    <row r="76" spans="9:9" s="59" customFormat="1" x14ac:dyDescent="0.25">
      <c r="I76" s="40"/>
    </row>
    <row r="77" spans="9:9" s="59" customFormat="1" x14ac:dyDescent="0.25">
      <c r="I77" s="40"/>
    </row>
    <row r="78" spans="9:9" s="59" customFormat="1" x14ac:dyDescent="0.25">
      <c r="I78" s="40"/>
    </row>
    <row r="79" spans="9:9" s="59" customFormat="1" x14ac:dyDescent="0.25">
      <c r="I79" s="40"/>
    </row>
    <row r="80" spans="9:9" s="59" customFormat="1" x14ac:dyDescent="0.25">
      <c r="I80" s="40"/>
    </row>
    <row r="81" spans="5:9" s="59" customFormat="1" x14ac:dyDescent="0.25">
      <c r="I81" s="40"/>
    </row>
    <row r="82" spans="5:9" s="59" customFormat="1" x14ac:dyDescent="0.25">
      <c r="I82" s="40"/>
    </row>
    <row r="83" spans="5:9" s="59" customFormat="1" x14ac:dyDescent="0.25">
      <c r="I83" s="40"/>
    </row>
    <row r="84" spans="5:9" s="59" customFormat="1" x14ac:dyDescent="0.25">
      <c r="I84" s="40"/>
    </row>
    <row r="85" spans="5:9" s="59" customFormat="1" x14ac:dyDescent="0.25">
      <c r="I85" s="40"/>
    </row>
    <row r="86" spans="5:9" s="59" customFormat="1" x14ac:dyDescent="0.25">
      <c r="I86" s="40"/>
    </row>
    <row r="87" spans="5:9" s="59" customFormat="1" x14ac:dyDescent="0.25">
      <c r="I87" s="40"/>
    </row>
    <row r="88" spans="5:9" s="59" customFormat="1" x14ac:dyDescent="0.25">
      <c r="I88" s="40"/>
    </row>
    <row r="89" spans="5:9" s="59" customFormat="1" x14ac:dyDescent="0.25">
      <c r="I89" s="40"/>
    </row>
    <row r="90" spans="5:9" s="59" customFormat="1" x14ac:dyDescent="0.25">
      <c r="I90" s="40"/>
    </row>
    <row r="91" spans="5:9" s="59" customFormat="1" x14ac:dyDescent="0.25">
      <c r="I91" s="40"/>
    </row>
    <row r="92" spans="5:9" s="59" customFormat="1" x14ac:dyDescent="0.25">
      <c r="I92" s="40"/>
    </row>
    <row r="93" spans="5:9" s="59" customFormat="1" x14ac:dyDescent="0.25">
      <c r="I93" s="66"/>
    </row>
    <row r="94" spans="5:9" s="59" customFormat="1" x14ac:dyDescent="0.25">
      <c r="I94" s="66"/>
    </row>
    <row r="95" spans="5:9" s="59" customFormat="1" x14ac:dyDescent="0.25">
      <c r="I95" s="66"/>
    </row>
    <row r="96" spans="5:9" s="59" customFormat="1" ht="158.4" x14ac:dyDescent="0.25">
      <c r="E96" s="59" t="s">
        <v>1313</v>
      </c>
      <c r="H96" s="67"/>
      <c r="I96" s="68"/>
    </row>
    <row r="97" spans="7:9" s="59" customFormat="1" x14ac:dyDescent="0.25">
      <c r="I97" s="68"/>
    </row>
    <row r="98" spans="7:9" s="59" customFormat="1" ht="12" customHeight="1" x14ac:dyDescent="0.25">
      <c r="I98" s="40"/>
    </row>
    <row r="99" spans="7:9" s="59" customFormat="1" x14ac:dyDescent="0.25">
      <c r="I99" s="66"/>
    </row>
    <row r="100" spans="7:9" s="59" customFormat="1" x14ac:dyDescent="0.25">
      <c r="I100" s="66"/>
    </row>
    <row r="101" spans="7:9" s="59" customFormat="1" x14ac:dyDescent="0.25">
      <c r="I101" s="40"/>
    </row>
    <row r="102" spans="7:9" s="59" customFormat="1" x14ac:dyDescent="0.25">
      <c r="I102" s="40"/>
    </row>
    <row r="112" spans="7:9" x14ac:dyDescent="0.25">
      <c r="G112" s="12">
        <f>G111-G110</f>
        <v>0</v>
      </c>
    </row>
    <row r="391" ht="11.25" customHeight="1" x14ac:dyDescent="0.25"/>
  </sheetData>
  <customSheetViews>
    <customSheetView guid="{7F222B88-8DE7-4209-9261-78C075D2F561}" showPageBreaks="1" printArea="1" hiddenRows="1" view="pageBreakPreview" showRuler="0">
      <pane ySplit="2" topLeftCell="A27" activePane="bottomLeft" state="frozen"/>
      <selection pane="bottomLeft" activeCell="E12" sqref="E12:E48"/>
      <rowBreaks count="1" manualBreakCount="1">
        <brk id="43" max="7" man="1"/>
      </rowBreaks>
      <pageMargins left="0.74803149606299213" right="0.62992125984251968" top="0.70866141732283472" bottom="0.70866141732283472" header="0.51181102362204722" footer="0.51181102362204722"/>
      <pageSetup paperSize="9" scale="67" orientation="portrait" useFirstPageNumber="1" r:id="rId1"/>
      <headerFooter alignWithMargins="0">
        <oddFooter>&amp;C&amp;"Arial Narrow,Regular"Page &amp;P of &amp;N</oddFooter>
      </headerFooter>
    </customSheetView>
  </customSheetViews>
  <mergeCells count="4">
    <mergeCell ref="D4:H4"/>
    <mergeCell ref="D5:H5"/>
    <mergeCell ref="D43:H43"/>
    <mergeCell ref="D44:H44"/>
  </mergeCells>
  <phoneticPr fontId="0" type="noConversion"/>
  <printOptions horizontalCentered="1"/>
  <pageMargins left="0.31496062992125984" right="0.31496062992125984" top="0.35433070866141736" bottom="0.35433070866141736" header="0.11811023622047245" footer="0.11811023622047245"/>
  <pageSetup paperSize="9" orientation="portrait" r:id="rId2"/>
  <headerFooter alignWithMargins="0">
    <oddFooter>&amp;C&amp;P</oddFooter>
  </headerFooter>
  <rowBreaks count="1" manualBreakCount="1">
    <brk id="41" min="2"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I386"/>
  <sheetViews>
    <sheetView showGridLines="0" view="pageBreakPreview" zoomScaleNormal="85" zoomScaleSheetLayoutView="100" workbookViewId="0">
      <pane ySplit="5" topLeftCell="A6" activePane="bottomLeft" state="frozen"/>
      <selection pane="bottomLeft"/>
    </sheetView>
  </sheetViews>
  <sheetFormatPr defaultColWidth="9" defaultRowHeight="13.8" x14ac:dyDescent="0.25"/>
  <cols>
    <col min="1" max="1" width="10.5" style="6" customWidth="1"/>
    <col min="2" max="2" width="12.5" style="6" customWidth="1"/>
    <col min="3" max="3" width="2.3984375" style="6" customWidth="1"/>
    <col min="4" max="4" width="49.8984375" style="6" customWidth="1"/>
    <col min="5" max="5" width="6.09765625" style="6" customWidth="1"/>
    <col min="6" max="7" width="10.09765625" style="6" customWidth="1"/>
    <col min="8" max="16384" width="9" style="6"/>
  </cols>
  <sheetData>
    <row r="1" spans="1:8" ht="14.4" x14ac:dyDescent="0.25">
      <c r="A1" s="146" t="s">
        <v>206</v>
      </c>
      <c r="B1" s="145" t="s">
        <v>207</v>
      </c>
      <c r="C1" s="86" t="str">
        <f>IF('Merge Details_Printing instr'!$B$11="Insert details here",'Merge Details_Printing instr'!$A$11,'Merge Details_Printing instr'!$B$11)</f>
        <v>Council Name</v>
      </c>
      <c r="D1" s="61"/>
      <c r="F1" s="12"/>
      <c r="G1" s="12"/>
    </row>
    <row r="2" spans="1:8" ht="14.4" x14ac:dyDescent="0.25">
      <c r="A2" s="504" t="s">
        <v>696</v>
      </c>
      <c r="B2" s="27"/>
      <c r="C2" s="83" t="str">
        <f>+'Merge Details_Printing instr'!A12</f>
        <v>2023-2024 Financial Report</v>
      </c>
      <c r="D2" s="75"/>
      <c r="E2" s="72"/>
      <c r="F2" s="90"/>
      <c r="G2" s="90"/>
    </row>
    <row r="3" spans="1:8" ht="14.4" x14ac:dyDescent="0.25">
      <c r="A3" s="42"/>
      <c r="B3" s="42"/>
      <c r="C3" s="42"/>
      <c r="D3" s="77"/>
      <c r="E3" s="8"/>
      <c r="F3" s="9"/>
      <c r="G3" s="12"/>
    </row>
    <row r="4" spans="1:8" ht="20.25" customHeight="1" x14ac:dyDescent="0.25">
      <c r="B4" s="198"/>
      <c r="C4" s="198"/>
      <c r="D4" s="2097" t="s">
        <v>61</v>
      </c>
      <c r="E4" s="2097"/>
      <c r="F4" s="2097"/>
      <c r="G4" s="2097"/>
    </row>
    <row r="5" spans="1:8" ht="20.25" customHeight="1" x14ac:dyDescent="0.25">
      <c r="B5" s="526"/>
      <c r="C5" s="526"/>
      <c r="D5" s="2098" t="str">
        <f>+'Merge Details_Printing instr'!A16</f>
        <v>As at 30 June 2024</v>
      </c>
      <c r="E5" s="2098"/>
      <c r="F5" s="2098"/>
      <c r="G5" s="2098"/>
    </row>
    <row r="6" spans="1:8" ht="14.4" x14ac:dyDescent="0.25">
      <c r="A6" s="139"/>
      <c r="B6" s="139"/>
      <c r="C6" s="60"/>
      <c r="D6" s="818"/>
      <c r="E6" s="819" t="s">
        <v>286</v>
      </c>
      <c r="F6" s="820">
        <f>+'Merge Details_Printing instr'!A19</f>
        <v>2024</v>
      </c>
      <c r="G6" s="820">
        <f>+'Merge Details_Printing instr'!A20</f>
        <v>2023</v>
      </c>
    </row>
    <row r="7" spans="1:8" ht="14.4" x14ac:dyDescent="0.25">
      <c r="A7" s="139">
        <v>101</v>
      </c>
      <c r="B7" s="139">
        <v>8</v>
      </c>
      <c r="C7" s="60"/>
      <c r="D7" s="818"/>
      <c r="E7" s="64"/>
      <c r="F7" s="821" t="s">
        <v>60</v>
      </c>
      <c r="G7" s="821" t="s">
        <v>60</v>
      </c>
    </row>
    <row r="8" spans="1:8" ht="18" customHeight="1" x14ac:dyDescent="0.25">
      <c r="A8" s="139">
        <v>101</v>
      </c>
      <c r="B8" s="139">
        <v>51</v>
      </c>
      <c r="C8" s="40"/>
      <c r="D8" s="786" t="s">
        <v>583</v>
      </c>
      <c r="E8" s="201"/>
      <c r="F8" s="822"/>
      <c r="G8" s="822"/>
    </row>
    <row r="9" spans="1:8" ht="18" customHeight="1" x14ac:dyDescent="0.25">
      <c r="A9" s="139">
        <v>101</v>
      </c>
      <c r="B9" s="139">
        <v>51</v>
      </c>
      <c r="C9" s="104"/>
      <c r="D9" s="786" t="s">
        <v>85</v>
      </c>
      <c r="E9" s="201"/>
      <c r="F9" s="823"/>
      <c r="G9" s="823"/>
    </row>
    <row r="10" spans="1:8" ht="18" customHeight="1" x14ac:dyDescent="0.25">
      <c r="A10" s="139">
        <v>101</v>
      </c>
      <c r="B10" s="139" t="s">
        <v>658</v>
      </c>
      <c r="C10" s="105"/>
      <c r="D10" s="824" t="s">
        <v>39</v>
      </c>
      <c r="E10" s="825">
        <f>'Notes 2 to 5'!E390</f>
        <v>4.0999999999999996</v>
      </c>
      <c r="F10" s="826">
        <f>+'Notes 2 to 5'!K395</f>
        <v>13461</v>
      </c>
      <c r="G10" s="826">
        <f>+'Notes 2 to 5'!M395</f>
        <v>14783</v>
      </c>
    </row>
    <row r="11" spans="1:8" ht="18" customHeight="1" x14ac:dyDescent="0.25">
      <c r="A11" s="139">
        <v>101</v>
      </c>
      <c r="B11" s="139" t="s">
        <v>659</v>
      </c>
      <c r="C11" s="105"/>
      <c r="D11" s="824" t="s">
        <v>40</v>
      </c>
      <c r="E11" s="825">
        <f>'Notes 2 to 5'!E425</f>
        <v>4.1999999999999993</v>
      </c>
      <c r="F11" s="826">
        <f>+'Notes 2 to 5'!K434</f>
        <v>6796</v>
      </c>
      <c r="G11" s="826">
        <f>+'Notes 2 to 5'!M434</f>
        <v>4679</v>
      </c>
    </row>
    <row r="12" spans="1:8" ht="18" customHeight="1" x14ac:dyDescent="0.25">
      <c r="A12" s="139">
        <v>101</v>
      </c>
      <c r="B12" s="139" t="s">
        <v>660</v>
      </c>
      <c r="C12" s="105"/>
      <c r="D12" s="824" t="s">
        <v>1595</v>
      </c>
      <c r="E12" s="825">
        <f>'Notes 2 to 5'!E456</f>
        <v>4.2999999999999989</v>
      </c>
      <c r="F12" s="826">
        <f>'Notes 2 to 5'!K460</f>
        <v>0</v>
      </c>
      <c r="G12" s="826">
        <f>'Notes 2 to 5'!M460</f>
        <v>0</v>
      </c>
      <c r="H12" s="497"/>
    </row>
    <row r="13" spans="1:8" ht="18" customHeight="1" x14ac:dyDescent="0.25">
      <c r="A13" s="139">
        <v>101</v>
      </c>
      <c r="B13" s="139" t="s">
        <v>661</v>
      </c>
      <c r="C13" s="105"/>
      <c r="D13" s="824" t="s">
        <v>552</v>
      </c>
      <c r="E13" s="825">
        <f>'Notes 2 to 5'!E474</f>
        <v>4.3999999999999986</v>
      </c>
      <c r="F13" s="826">
        <f>'Notes 2 to 5'!K477</f>
        <v>0</v>
      </c>
      <c r="G13" s="826">
        <f>'Notes 2 to 5'!M477</f>
        <v>0</v>
      </c>
    </row>
    <row r="14" spans="1:8" ht="18" customHeight="1" x14ac:dyDescent="0.25">
      <c r="A14" s="139" t="s">
        <v>160</v>
      </c>
      <c r="B14" s="139" t="s">
        <v>662</v>
      </c>
      <c r="C14" s="105"/>
      <c r="D14" s="824" t="s">
        <v>41</v>
      </c>
      <c r="E14" s="825">
        <f>'Notes 2 to 5'!E485</f>
        <v>4.4999999999999982</v>
      </c>
      <c r="F14" s="826">
        <f>+'Notes 2 to 5'!K488</f>
        <v>6</v>
      </c>
      <c r="G14" s="826">
        <f>+'Notes 2 to 5'!M488</f>
        <v>6</v>
      </c>
    </row>
    <row r="15" spans="1:8" ht="18" customHeight="1" x14ac:dyDescent="0.25">
      <c r="A15" s="669">
        <v>15</v>
      </c>
      <c r="B15" s="669">
        <v>116</v>
      </c>
      <c r="C15" s="105"/>
      <c r="D15" s="824" t="s">
        <v>1580</v>
      </c>
      <c r="E15" s="825">
        <f>'Notes 2 to 5'!E499</f>
        <v>4.5999999999999979</v>
      </c>
      <c r="F15" s="826">
        <f>'Notes 2 to 5'!K503</f>
        <v>0</v>
      </c>
      <c r="G15" s="826">
        <v>0</v>
      </c>
    </row>
    <row r="16" spans="1:8" ht="18" customHeight="1" x14ac:dyDescent="0.25">
      <c r="A16" s="139">
        <v>101</v>
      </c>
      <c r="B16" s="139">
        <v>55</v>
      </c>
      <c r="C16" s="105"/>
      <c r="D16" s="824" t="s">
        <v>652</v>
      </c>
      <c r="E16" s="825">
        <f>'Note 6 to 8'!E101</f>
        <v>6.4999999999999982</v>
      </c>
      <c r="F16" s="827">
        <f>'Note 6 to 8'!Q105</f>
        <v>0</v>
      </c>
      <c r="G16" s="827">
        <f>'Note 6 to 8'!S105</f>
        <v>0</v>
      </c>
    </row>
    <row r="17" spans="1:9" ht="18" customHeight="1" x14ac:dyDescent="0.25">
      <c r="A17" s="139">
        <v>101</v>
      </c>
      <c r="B17" s="139">
        <f>B16</f>
        <v>55</v>
      </c>
      <c r="C17" s="105"/>
      <c r="D17" s="828" t="s">
        <v>149</v>
      </c>
      <c r="E17" s="201"/>
      <c r="F17" s="829">
        <f>SUM(F9:F16)</f>
        <v>20263</v>
      </c>
      <c r="G17" s="829">
        <f>SUM(G9:G16)</f>
        <v>19468</v>
      </c>
    </row>
    <row r="18" spans="1:9" ht="14.4" x14ac:dyDescent="0.25">
      <c r="A18" s="139"/>
      <c r="B18" s="139"/>
      <c r="C18" s="105"/>
      <c r="D18" s="828"/>
      <c r="E18" s="201"/>
      <c r="F18" s="830"/>
      <c r="G18" s="830"/>
    </row>
    <row r="19" spans="1:9" ht="14.4" x14ac:dyDescent="0.25">
      <c r="A19" s="139">
        <v>101</v>
      </c>
      <c r="B19" s="139">
        <v>60</v>
      </c>
      <c r="C19" s="105"/>
      <c r="D19" s="828" t="s">
        <v>150</v>
      </c>
      <c r="E19" s="201"/>
      <c r="F19" s="830"/>
      <c r="G19" s="830"/>
    </row>
    <row r="20" spans="1:9" ht="18" customHeight="1" x14ac:dyDescent="0.25">
      <c r="A20" s="139">
        <v>101</v>
      </c>
      <c r="B20" s="139" t="str">
        <f>B11</f>
        <v>54(h)</v>
      </c>
      <c r="C20" s="59"/>
      <c r="D20" s="824" t="s">
        <v>40</v>
      </c>
      <c r="E20" s="825">
        <f>E11</f>
        <v>4.1999999999999993</v>
      </c>
      <c r="F20" s="830">
        <f>+'Notes 2 to 5'!K438</f>
        <v>12</v>
      </c>
      <c r="G20" s="830">
        <f>+'Notes 2 to 5'!M438</f>
        <v>11</v>
      </c>
    </row>
    <row r="21" spans="1:9" ht="18" customHeight="1" x14ac:dyDescent="0.25">
      <c r="A21" s="139">
        <v>101</v>
      </c>
      <c r="B21" s="139" t="str">
        <f>B12</f>
        <v>54(d)</v>
      </c>
      <c r="C21" s="59"/>
      <c r="D21" s="824" t="s">
        <v>1595</v>
      </c>
      <c r="E21" s="831">
        <f>E12</f>
        <v>4.2999999999999989</v>
      </c>
      <c r="F21" s="826">
        <f>'Notes 2 to 5'!K463</f>
        <v>200</v>
      </c>
      <c r="G21" s="826">
        <f>'Notes 2 to 5'!M463</f>
        <v>196</v>
      </c>
      <c r="H21" s="497"/>
    </row>
    <row r="22" spans="1:9" ht="18" customHeight="1" x14ac:dyDescent="0.25">
      <c r="A22" s="669">
        <v>15</v>
      </c>
      <c r="B22" s="669">
        <v>116</v>
      </c>
      <c r="C22" s="105"/>
      <c r="D22" s="824" t="s">
        <v>1580</v>
      </c>
      <c r="E22" s="825">
        <f>'Notes 2 to 5'!E499</f>
        <v>4.5999999999999979</v>
      </c>
      <c r="F22" s="826">
        <f>'Notes 2 to 5'!K508</f>
        <v>0</v>
      </c>
      <c r="G22" s="826">
        <v>0</v>
      </c>
    </row>
    <row r="23" spans="1:9" ht="18" customHeight="1" x14ac:dyDescent="0.25">
      <c r="A23" s="139">
        <v>101</v>
      </c>
      <c r="B23" s="139" t="s">
        <v>663</v>
      </c>
      <c r="C23" s="59"/>
      <c r="D23" s="824" t="s">
        <v>239</v>
      </c>
      <c r="E23" s="825">
        <f>'Notes 2 to 5'!E522</f>
        <v>5.0999999999999996</v>
      </c>
      <c r="F23" s="826">
        <f>+'Notes 2 to 5'!K526</f>
        <v>0</v>
      </c>
      <c r="G23" s="826">
        <f>+'Notes 2 to 5'!M526</f>
        <v>0</v>
      </c>
    </row>
    <row r="24" spans="1:9" ht="18" customHeight="1" x14ac:dyDescent="0.25">
      <c r="A24" s="139">
        <v>101</v>
      </c>
      <c r="B24" s="139" t="s">
        <v>660</v>
      </c>
      <c r="C24" s="229"/>
      <c r="D24" s="824" t="s">
        <v>544</v>
      </c>
      <c r="E24" s="831">
        <f>'Notes 2 to 5'!E566</f>
        <v>5.1999999999999993</v>
      </c>
      <c r="F24" s="826">
        <f>'Notes 2 to 5'!K570</f>
        <v>48200</v>
      </c>
      <c r="G24" s="826">
        <f>'Notes 2 to 5'!M570</f>
        <v>48090</v>
      </c>
      <c r="I24" s="228"/>
    </row>
    <row r="25" spans="1:9" ht="18" customHeight="1" x14ac:dyDescent="0.25">
      <c r="A25" s="139">
        <v>101</v>
      </c>
      <c r="B25" s="139" t="s">
        <v>664</v>
      </c>
      <c r="C25" s="105"/>
      <c r="D25" s="824" t="s">
        <v>1399</v>
      </c>
      <c r="E25" s="825">
        <f>'Note 6'!F5</f>
        <v>6.1</v>
      </c>
      <c r="F25" s="826">
        <f>'Note 6'!I15</f>
        <v>510681</v>
      </c>
      <c r="G25" s="826">
        <f>'Note 6'!K15</f>
        <v>499432</v>
      </c>
      <c r="H25" s="497"/>
      <c r="I25" s="608"/>
    </row>
    <row r="26" spans="1:9" ht="18" customHeight="1" x14ac:dyDescent="0.25">
      <c r="A26" s="139">
        <v>101</v>
      </c>
      <c r="B26" s="139" t="s">
        <v>665</v>
      </c>
      <c r="C26" s="105"/>
      <c r="D26" s="824" t="s">
        <v>319</v>
      </c>
      <c r="E26" s="825">
        <f>'Note 6 to 8'!E5</f>
        <v>6.1999999999999993</v>
      </c>
      <c r="F26" s="826">
        <f>'Note 6 to 8'!Q10</f>
        <v>8000</v>
      </c>
      <c r="G26" s="826">
        <f>'Note 6 to 8'!S10</f>
        <v>10000</v>
      </c>
    </row>
    <row r="27" spans="1:9" ht="18" customHeight="1" x14ac:dyDescent="0.25">
      <c r="A27" s="139">
        <v>101</v>
      </c>
      <c r="B27" s="139" t="s">
        <v>666</v>
      </c>
      <c r="C27" s="105"/>
      <c r="D27" s="824" t="s">
        <v>653</v>
      </c>
      <c r="E27" s="825">
        <f>'Note 6 to 8'!E19</f>
        <v>6.2999999999999989</v>
      </c>
      <c r="F27" s="826">
        <f>'Note 6 to 8'!Q24</f>
        <v>0</v>
      </c>
      <c r="G27" s="826">
        <f>'Note 6 to 8'!S24</f>
        <v>0</v>
      </c>
    </row>
    <row r="28" spans="1:9" ht="18" customHeight="1" x14ac:dyDescent="0.25">
      <c r="A28" s="624">
        <v>101</v>
      </c>
      <c r="B28" s="624">
        <v>55</v>
      </c>
      <c r="C28" s="105"/>
      <c r="D28" s="824" t="s">
        <v>1450</v>
      </c>
      <c r="E28" s="825">
        <f>'Note 6 to 8'!E60</f>
        <v>6.3999999999999986</v>
      </c>
      <c r="F28" s="826">
        <f>'Note 6 to 8'!S75</f>
        <v>33000</v>
      </c>
      <c r="G28" s="826">
        <f>'Note 6 to 8'!S68</f>
        <v>37000</v>
      </c>
    </row>
    <row r="29" spans="1:9" ht="18" customHeight="1" x14ac:dyDescent="0.25">
      <c r="A29" s="139">
        <v>101</v>
      </c>
      <c r="B29" s="139">
        <f>B16</f>
        <v>55</v>
      </c>
      <c r="C29" s="105"/>
      <c r="D29" s="824" t="s">
        <v>652</v>
      </c>
      <c r="E29" s="825">
        <f>E16</f>
        <v>6.4999999999999982</v>
      </c>
      <c r="F29" s="827">
        <f>'Note 6 to 8'!Q109</f>
        <v>0</v>
      </c>
      <c r="G29" s="827">
        <f>'Note 6 to 8'!S109</f>
        <v>0</v>
      </c>
    </row>
    <row r="30" spans="1:9" ht="18" customHeight="1" x14ac:dyDescent="0.25">
      <c r="A30" s="139">
        <v>101</v>
      </c>
      <c r="B30" s="139">
        <f>B17</f>
        <v>55</v>
      </c>
      <c r="C30" s="105"/>
      <c r="D30" s="828" t="s">
        <v>151</v>
      </c>
      <c r="E30" s="201"/>
      <c r="F30" s="829">
        <f>SUM(F20:F29)</f>
        <v>600093</v>
      </c>
      <c r="G30" s="829">
        <f>SUM(G20:G29)</f>
        <v>594729</v>
      </c>
    </row>
    <row r="31" spans="1:9" ht="18" customHeight="1" x14ac:dyDescent="0.25">
      <c r="A31" s="139">
        <v>101</v>
      </c>
      <c r="B31" s="139">
        <f>B17</f>
        <v>55</v>
      </c>
      <c r="C31" s="106"/>
      <c r="D31" s="828" t="s">
        <v>261</v>
      </c>
      <c r="E31" s="201"/>
      <c r="F31" s="829">
        <f>+F17+F30</f>
        <v>620356</v>
      </c>
      <c r="G31" s="829">
        <f>+G17+G30</f>
        <v>614197</v>
      </c>
    </row>
    <row r="32" spans="1:9" ht="14.4" x14ac:dyDescent="0.25">
      <c r="A32" s="139"/>
      <c r="B32" s="139"/>
      <c r="C32" s="106"/>
      <c r="D32" s="828"/>
      <c r="E32" s="201"/>
      <c r="F32" s="830"/>
      <c r="G32" s="830"/>
    </row>
    <row r="33" spans="1:7" ht="18" customHeight="1" x14ac:dyDescent="0.25">
      <c r="A33" s="139">
        <v>101</v>
      </c>
      <c r="B33" s="139">
        <v>85</v>
      </c>
      <c r="C33" s="104"/>
      <c r="D33" s="828" t="s">
        <v>152</v>
      </c>
      <c r="E33" s="201"/>
      <c r="F33" s="830"/>
      <c r="G33" s="830"/>
    </row>
    <row r="34" spans="1:7" ht="14.4" x14ac:dyDescent="0.25">
      <c r="A34" s="139">
        <v>101</v>
      </c>
      <c r="B34" s="139">
        <v>51</v>
      </c>
      <c r="C34" s="104"/>
      <c r="D34" s="828" t="s">
        <v>181</v>
      </c>
      <c r="E34" s="201"/>
      <c r="F34" s="830"/>
      <c r="G34" s="830"/>
    </row>
    <row r="35" spans="1:7" ht="18" customHeight="1" x14ac:dyDescent="0.25">
      <c r="A35" s="139">
        <v>101</v>
      </c>
      <c r="B35" s="139" t="s">
        <v>667</v>
      </c>
      <c r="C35" s="105"/>
      <c r="D35" s="824" t="s">
        <v>240</v>
      </c>
      <c r="E35" s="825">
        <f>'Note 6 to 8'!E112</f>
        <v>7.1</v>
      </c>
      <c r="F35" s="826">
        <f>'Note 6 to 8'!Q117</f>
        <v>8288</v>
      </c>
      <c r="G35" s="826">
        <f>'Note 6 to 8'!S117</f>
        <v>7287</v>
      </c>
    </row>
    <row r="36" spans="1:7" ht="18" customHeight="1" x14ac:dyDescent="0.25">
      <c r="A36" s="139">
        <v>101</v>
      </c>
      <c r="B36" s="139" t="s">
        <v>668</v>
      </c>
      <c r="C36" s="105"/>
      <c r="D36" s="824" t="s">
        <v>29</v>
      </c>
      <c r="E36" s="825">
        <f>'Note 6 to 8'!E127</f>
        <v>7.1999999999999993</v>
      </c>
      <c r="F36" s="826">
        <f>'Note 6 to 8'!Q134</f>
        <v>956</v>
      </c>
      <c r="G36" s="826">
        <f>'Note 6 to 8'!S134</f>
        <v>574</v>
      </c>
    </row>
    <row r="37" spans="1:7" ht="18" customHeight="1" x14ac:dyDescent="0.25">
      <c r="A37" s="139">
        <v>101</v>
      </c>
      <c r="B37" s="139" t="s">
        <v>161</v>
      </c>
      <c r="C37" s="105"/>
      <c r="D37" s="824" t="s">
        <v>141</v>
      </c>
      <c r="E37" s="825">
        <f>'Note 6 to 8'!E142</f>
        <v>7.2999999999999989</v>
      </c>
      <c r="F37" s="832">
        <f>'Note 6 to 8'!S150</f>
        <v>5872</v>
      </c>
      <c r="G37" s="832">
        <f>'Note 6 to 8'!S164</f>
        <v>5825</v>
      </c>
    </row>
    <row r="38" spans="1:7" ht="18" customHeight="1" x14ac:dyDescent="0.25">
      <c r="A38" s="624">
        <v>101</v>
      </c>
      <c r="B38" s="624" t="str">
        <f>B36</f>
        <v>54(m)</v>
      </c>
      <c r="C38" s="105"/>
      <c r="D38" s="824" t="s">
        <v>1449</v>
      </c>
      <c r="E38" s="825">
        <f>'Note 6 to 8'!E203</f>
        <v>7.3999999999999986</v>
      </c>
      <c r="F38" s="832">
        <f>'Note 6 to 8'!Q208</f>
        <v>3550</v>
      </c>
      <c r="G38" s="832">
        <f>'Note 6 to 8'!S208</f>
        <v>3550</v>
      </c>
    </row>
    <row r="39" spans="1:7" ht="18" customHeight="1" x14ac:dyDescent="0.25">
      <c r="A39" s="638">
        <v>101</v>
      </c>
      <c r="B39" s="638" t="str">
        <f>B37</f>
        <v>68(l)</v>
      </c>
      <c r="C39" s="105"/>
      <c r="D39" s="824" t="s">
        <v>1578</v>
      </c>
      <c r="E39" s="825">
        <f>'Note 6 to 8'!E258</f>
        <v>7.4999999999999982</v>
      </c>
      <c r="F39" s="832">
        <f>'Note 6 to 8'!Q263</f>
        <v>1000</v>
      </c>
      <c r="G39" s="832">
        <f>'Note 6 to 8'!S263</f>
        <v>1000</v>
      </c>
    </row>
    <row r="40" spans="1:7" ht="18" customHeight="1" x14ac:dyDescent="0.25">
      <c r="A40" s="139">
        <v>101</v>
      </c>
      <c r="B40" s="139" t="str">
        <f>B36</f>
        <v>54(m)</v>
      </c>
      <c r="C40" s="105"/>
      <c r="D40" s="824" t="s">
        <v>26</v>
      </c>
      <c r="E40" s="825">
        <f>'Note 6 to 8'!E282</f>
        <v>8.1</v>
      </c>
      <c r="F40" s="827">
        <f>'Note 6 to 8'!Q287</f>
        <v>1161</v>
      </c>
      <c r="G40" s="827">
        <f>'Note 6 to 8'!S287</f>
        <v>2704</v>
      </c>
    </row>
    <row r="41" spans="1:7" ht="18" customHeight="1" x14ac:dyDescent="0.25">
      <c r="A41" s="139">
        <v>101</v>
      </c>
      <c r="B41" s="139">
        <f>B31</f>
        <v>55</v>
      </c>
      <c r="C41" s="105"/>
      <c r="D41" s="828" t="s">
        <v>153</v>
      </c>
      <c r="E41" s="201"/>
      <c r="F41" s="829">
        <f>SUM(F35:F40)</f>
        <v>20827</v>
      </c>
      <c r="G41" s="829">
        <f>SUM(G35:G40)</f>
        <v>20940</v>
      </c>
    </row>
    <row r="42" spans="1:7" ht="14.4" x14ac:dyDescent="0.25">
      <c r="A42" s="139"/>
      <c r="B42" s="139"/>
      <c r="C42" s="105"/>
      <c r="D42" s="828"/>
      <c r="E42" s="201"/>
      <c r="F42" s="830"/>
      <c r="G42" s="830"/>
    </row>
    <row r="43" spans="1:7" ht="14.4" x14ac:dyDescent="0.25">
      <c r="A43" s="139">
        <v>101</v>
      </c>
      <c r="B43" s="139">
        <v>51</v>
      </c>
      <c r="C43" s="104"/>
      <c r="D43" s="828" t="s">
        <v>154</v>
      </c>
      <c r="E43" s="201"/>
      <c r="F43" s="830"/>
      <c r="G43" s="830"/>
    </row>
    <row r="44" spans="1:7" ht="18" customHeight="1" x14ac:dyDescent="0.25">
      <c r="A44" s="139">
        <v>101</v>
      </c>
      <c r="B44" s="139" t="str">
        <f>B37</f>
        <v>68(l)</v>
      </c>
      <c r="C44" s="105"/>
      <c r="D44" s="824" t="s">
        <v>141</v>
      </c>
      <c r="E44" s="825">
        <f>E37</f>
        <v>7.2999999999999989</v>
      </c>
      <c r="F44" s="826">
        <f>'Note 6 to 8'!S151</f>
        <v>1090</v>
      </c>
      <c r="G44" s="826">
        <f>'Note 6 to 8'!S165</f>
        <v>1138</v>
      </c>
    </row>
    <row r="45" spans="1:7" ht="18" customHeight="1" x14ac:dyDescent="0.25">
      <c r="A45" s="624">
        <v>101</v>
      </c>
      <c r="B45" s="624" t="str">
        <f>B38</f>
        <v>54(m)</v>
      </c>
      <c r="C45" s="105"/>
      <c r="D45" s="824" t="s">
        <v>1449</v>
      </c>
      <c r="E45" s="825">
        <f>E38</f>
        <v>7.3999999999999986</v>
      </c>
      <c r="F45" s="826">
        <f>'Note 6 to 8'!Q209</f>
        <v>29900</v>
      </c>
      <c r="G45" s="826">
        <f>'Note 6 to 8'!S209</f>
        <v>33450</v>
      </c>
    </row>
    <row r="46" spans="1:7" ht="18" customHeight="1" x14ac:dyDescent="0.25">
      <c r="A46" s="669">
        <v>15</v>
      </c>
      <c r="B46" s="669">
        <v>116</v>
      </c>
      <c r="C46" s="105"/>
      <c r="D46" s="824" t="s">
        <v>1578</v>
      </c>
      <c r="E46" s="825">
        <f>'Note 6 to 8'!E258</f>
        <v>7.4999999999999982</v>
      </c>
      <c r="F46" s="826">
        <f>'Note 6 to 8'!Q265</f>
        <v>0</v>
      </c>
      <c r="G46" s="826">
        <f>'Note 6 to 8'!S265</f>
        <v>0</v>
      </c>
    </row>
    <row r="47" spans="1:7" ht="18" customHeight="1" x14ac:dyDescent="0.25">
      <c r="A47" s="139">
        <v>101</v>
      </c>
      <c r="B47" s="139" t="str">
        <f>B40</f>
        <v>54(m)</v>
      </c>
      <c r="C47" s="105"/>
      <c r="D47" s="824" t="s">
        <v>26</v>
      </c>
      <c r="E47" s="825">
        <f>E40</f>
        <v>8.1</v>
      </c>
      <c r="F47" s="827">
        <f>+'Note 6 to 8'!Q290</f>
        <v>2197</v>
      </c>
      <c r="G47" s="827">
        <f>+'Note 6 to 8'!S290</f>
        <v>3344</v>
      </c>
    </row>
    <row r="48" spans="1:7" ht="18" customHeight="1" x14ac:dyDescent="0.25">
      <c r="A48" s="139">
        <v>101</v>
      </c>
      <c r="B48" s="139">
        <f>B41</f>
        <v>55</v>
      </c>
      <c r="C48" s="105"/>
      <c r="D48" s="828" t="s">
        <v>155</v>
      </c>
      <c r="E48" s="201"/>
      <c r="F48" s="829">
        <f>SUM(F44:F47)</f>
        <v>33187</v>
      </c>
      <c r="G48" s="829">
        <f>SUM(G44:G47)</f>
        <v>37932</v>
      </c>
    </row>
    <row r="49" spans="1:9" ht="18" customHeight="1" x14ac:dyDescent="0.25">
      <c r="A49" s="139">
        <v>101</v>
      </c>
      <c r="B49" s="139">
        <f>B41</f>
        <v>55</v>
      </c>
      <c r="C49" s="106"/>
      <c r="D49" s="779" t="s">
        <v>260</v>
      </c>
      <c r="E49" s="64"/>
      <c r="F49" s="829">
        <f>+F41+F48</f>
        <v>54014</v>
      </c>
      <c r="G49" s="829">
        <f>+G41+G48</f>
        <v>58872</v>
      </c>
    </row>
    <row r="50" spans="1:9" ht="18" customHeight="1" thickBot="1" x14ac:dyDescent="0.3">
      <c r="A50" s="139">
        <v>101</v>
      </c>
      <c r="B50" s="139">
        <f>B43</f>
        <v>51</v>
      </c>
      <c r="C50" s="106"/>
      <c r="D50" s="779" t="s">
        <v>156</v>
      </c>
      <c r="E50" s="64"/>
      <c r="F50" s="833">
        <f>+F31-F49</f>
        <v>566342</v>
      </c>
      <c r="G50" s="833">
        <f>+G31-G49</f>
        <v>555325</v>
      </c>
    </row>
    <row r="51" spans="1:9" ht="14.4" x14ac:dyDescent="0.25">
      <c r="A51" s="139"/>
      <c r="B51" s="139"/>
      <c r="C51" s="104"/>
      <c r="D51" s="824"/>
      <c r="E51" s="201"/>
      <c r="F51" s="830"/>
      <c r="G51" s="830"/>
    </row>
    <row r="52" spans="1:9" ht="14.4" x14ac:dyDescent="0.25">
      <c r="A52" s="139"/>
      <c r="B52" s="139"/>
      <c r="C52" s="104"/>
      <c r="D52" s="828" t="s">
        <v>157</v>
      </c>
      <c r="E52" s="201"/>
      <c r="F52" s="830"/>
      <c r="G52" s="830"/>
    </row>
    <row r="53" spans="1:9" ht="18" customHeight="1" x14ac:dyDescent="0.25">
      <c r="A53" s="139">
        <v>101</v>
      </c>
      <c r="B53" s="139" t="s">
        <v>669</v>
      </c>
      <c r="C53" s="105"/>
      <c r="D53" s="824" t="s">
        <v>428</v>
      </c>
      <c r="E53" s="201"/>
      <c r="F53" s="830">
        <f>+'Statement Changes in Equity'!G25</f>
        <v>449546</v>
      </c>
      <c r="G53" s="830">
        <f>+'Statement Changes in Equity'!G45</f>
        <v>445276</v>
      </c>
      <c r="I53" s="228"/>
    </row>
    <row r="54" spans="1:9" ht="18" customHeight="1" x14ac:dyDescent="0.25">
      <c r="A54" s="139">
        <v>101</v>
      </c>
      <c r="B54" s="139" t="str">
        <f>B53</f>
        <v>54(q)</v>
      </c>
      <c r="C54" s="105"/>
      <c r="D54" s="824" t="s">
        <v>419</v>
      </c>
      <c r="E54" s="825">
        <f>'Note 9'!D5</f>
        <v>9.1</v>
      </c>
      <c r="F54" s="834">
        <f>'Note 9'!I69</f>
        <v>116796</v>
      </c>
      <c r="G54" s="834">
        <f>'Note 9'!J69</f>
        <v>110049</v>
      </c>
      <c r="I54" s="228"/>
    </row>
    <row r="55" spans="1:9" ht="18" customHeight="1" thickBot="1" x14ac:dyDescent="0.3">
      <c r="A55" s="139">
        <v>101</v>
      </c>
      <c r="B55" s="139">
        <f>B41</f>
        <v>55</v>
      </c>
      <c r="C55" s="105"/>
      <c r="D55" s="779" t="s">
        <v>27</v>
      </c>
      <c r="E55" s="64"/>
      <c r="F55" s="833">
        <f>+F53+F54</f>
        <v>566342</v>
      </c>
      <c r="G55" s="833">
        <f>+G53+G54</f>
        <v>555325</v>
      </c>
    </row>
    <row r="56" spans="1:9" ht="10.5" customHeight="1" x14ac:dyDescent="0.25">
      <c r="A56" s="581"/>
      <c r="B56" s="581"/>
      <c r="C56" s="105"/>
      <c r="D56" s="779"/>
      <c r="E56" s="64"/>
      <c r="F56" s="835"/>
      <c r="G56" s="835"/>
    </row>
    <row r="57" spans="1:9" ht="14.4" x14ac:dyDescent="0.25">
      <c r="A57" s="139"/>
      <c r="B57" s="139"/>
      <c r="C57" s="59"/>
      <c r="D57" s="693" t="s">
        <v>63</v>
      </c>
      <c r="E57" s="202"/>
      <c r="F57" s="836"/>
      <c r="G57" s="837"/>
    </row>
    <row r="58" spans="1:9" x14ac:dyDescent="0.25">
      <c r="B58" s="1"/>
      <c r="C58" s="1"/>
      <c r="D58" s="1"/>
      <c r="E58" s="1"/>
      <c r="F58" s="1"/>
      <c r="G58" s="1"/>
    </row>
    <row r="59" spans="1:9" x14ac:dyDescent="0.25">
      <c r="B59" s="1"/>
      <c r="C59" s="1"/>
      <c r="D59" s="1"/>
      <c r="E59" s="1"/>
      <c r="F59" s="87">
        <f>+F50-F55</f>
        <v>0</v>
      </c>
      <c r="G59" s="87">
        <f>+G50-G55</f>
        <v>0</v>
      </c>
    </row>
    <row r="60" spans="1:9" x14ac:dyDescent="0.25">
      <c r="B60" s="1"/>
      <c r="C60" s="1"/>
      <c r="D60" s="1"/>
      <c r="E60" s="1"/>
      <c r="F60" s="1"/>
      <c r="G60" s="1"/>
    </row>
    <row r="61" spans="1:9" x14ac:dyDescent="0.25">
      <c r="B61" s="1"/>
      <c r="C61" s="1"/>
      <c r="D61" s="1"/>
      <c r="E61" s="1"/>
      <c r="F61" s="1"/>
      <c r="G61" s="1"/>
    </row>
    <row r="62" spans="1:9" x14ac:dyDescent="0.25">
      <c r="B62" s="1"/>
      <c r="C62" s="1"/>
      <c r="D62" s="1"/>
      <c r="E62" s="1"/>
      <c r="F62" s="1"/>
      <c r="G62" s="1"/>
    </row>
    <row r="63" spans="1:9" x14ac:dyDescent="0.25">
      <c r="B63" s="1"/>
      <c r="C63" s="1"/>
      <c r="D63" s="1"/>
      <c r="E63" s="1"/>
      <c r="F63" s="1"/>
      <c r="G63" s="1"/>
    </row>
    <row r="64" spans="1:9" x14ac:dyDescent="0.25">
      <c r="B64" s="1"/>
      <c r="C64" s="1"/>
      <c r="D64" s="1"/>
      <c r="E64" s="1"/>
      <c r="F64" s="1"/>
      <c r="G64" s="1"/>
    </row>
    <row r="65" spans="2:7" x14ac:dyDescent="0.25">
      <c r="B65" s="1"/>
      <c r="C65" s="1"/>
      <c r="D65" s="1"/>
      <c r="E65" s="1"/>
      <c r="F65" s="1"/>
      <c r="G65" s="1"/>
    </row>
    <row r="66" spans="2:7" x14ac:dyDescent="0.25">
      <c r="B66" s="1"/>
      <c r="C66" s="1"/>
      <c r="D66" s="1"/>
      <c r="E66" s="1"/>
      <c r="F66" s="1"/>
      <c r="G66" s="1"/>
    </row>
    <row r="67" spans="2:7" x14ac:dyDescent="0.25">
      <c r="B67" s="1"/>
      <c r="C67" s="1"/>
      <c r="D67" s="1"/>
      <c r="E67" s="1"/>
      <c r="F67" s="1"/>
      <c r="G67" s="1"/>
    </row>
    <row r="68" spans="2:7" x14ac:dyDescent="0.25">
      <c r="B68" s="1"/>
      <c r="C68" s="1"/>
      <c r="D68" s="1"/>
      <c r="E68" s="1"/>
      <c r="F68" s="1"/>
      <c r="G68" s="1"/>
    </row>
    <row r="69" spans="2:7" x14ac:dyDescent="0.25">
      <c r="B69" s="1"/>
      <c r="C69" s="1"/>
      <c r="D69" s="1"/>
      <c r="E69" s="1"/>
      <c r="F69" s="1"/>
      <c r="G69" s="1"/>
    </row>
    <row r="70" spans="2:7" x14ac:dyDescent="0.25">
      <c r="B70" s="1"/>
      <c r="C70" s="1"/>
      <c r="D70" s="1"/>
      <c r="E70" s="1"/>
      <c r="F70" s="1"/>
      <c r="G70" s="1"/>
    </row>
    <row r="71" spans="2:7" x14ac:dyDescent="0.25">
      <c r="B71" s="1"/>
      <c r="C71" s="1"/>
      <c r="D71" s="1"/>
      <c r="E71" s="1"/>
      <c r="F71" s="1"/>
      <c r="G71" s="1"/>
    </row>
    <row r="72" spans="2:7" x14ac:dyDescent="0.25">
      <c r="B72" s="1"/>
      <c r="C72" s="1"/>
      <c r="D72" s="1"/>
      <c r="E72" s="1"/>
      <c r="F72" s="1"/>
      <c r="G72" s="1"/>
    </row>
    <row r="73" spans="2:7" x14ac:dyDescent="0.25">
      <c r="D73" s="1"/>
      <c r="E73" s="1"/>
      <c r="F73" s="1"/>
      <c r="G73" s="1"/>
    </row>
    <row r="74" spans="2:7" x14ac:dyDescent="0.25">
      <c r="D74" s="1"/>
      <c r="E74" s="1"/>
      <c r="F74" s="1"/>
      <c r="G74" s="1"/>
    </row>
    <row r="75" spans="2:7" x14ac:dyDescent="0.25">
      <c r="D75" s="1"/>
      <c r="E75" s="1"/>
      <c r="F75" s="1"/>
      <c r="G75" s="1"/>
    </row>
    <row r="76" spans="2:7" x14ac:dyDescent="0.25">
      <c r="D76" s="1"/>
      <c r="E76" s="1"/>
      <c r="F76" s="1"/>
      <c r="G76" s="1"/>
    </row>
    <row r="77" spans="2:7" x14ac:dyDescent="0.25">
      <c r="D77" s="1"/>
      <c r="E77" s="1"/>
      <c r="F77" s="1"/>
      <c r="G77" s="1"/>
    </row>
    <row r="78" spans="2:7" x14ac:dyDescent="0.25">
      <c r="D78" s="1"/>
      <c r="E78" s="1"/>
      <c r="F78" s="1"/>
      <c r="G78" s="1"/>
    </row>
    <row r="79" spans="2:7" x14ac:dyDescent="0.25">
      <c r="D79" s="1"/>
      <c r="E79" s="1"/>
      <c r="F79" s="1"/>
      <c r="G79" s="1"/>
    </row>
    <row r="80" spans="2:7" x14ac:dyDescent="0.25">
      <c r="D80" s="1"/>
      <c r="E80" s="1"/>
      <c r="F80" s="1"/>
      <c r="G80" s="1"/>
    </row>
    <row r="81" spans="4:7" x14ac:dyDescent="0.25">
      <c r="D81" s="1"/>
      <c r="E81" s="1"/>
      <c r="F81" s="1"/>
      <c r="G81" s="1"/>
    </row>
    <row r="82" spans="4:7" x14ac:dyDescent="0.25">
      <c r="D82" s="1"/>
      <c r="E82" s="1"/>
      <c r="F82" s="1"/>
      <c r="G82" s="1"/>
    </row>
    <row r="83" spans="4:7" x14ac:dyDescent="0.25">
      <c r="D83" s="1"/>
      <c r="E83" s="1"/>
      <c r="F83" s="1"/>
      <c r="G83" s="1"/>
    </row>
    <row r="84" spans="4:7" x14ac:dyDescent="0.25">
      <c r="D84" s="1"/>
      <c r="E84" s="1"/>
      <c r="F84" s="1"/>
      <c r="G84" s="1"/>
    </row>
    <row r="85" spans="4:7" x14ac:dyDescent="0.25">
      <c r="D85" s="1"/>
      <c r="E85" s="1"/>
      <c r="F85" s="1"/>
      <c r="G85" s="1"/>
    </row>
    <row r="86" spans="4:7" x14ac:dyDescent="0.25">
      <c r="D86" s="1"/>
      <c r="E86" s="1"/>
      <c r="F86" s="1"/>
      <c r="G86" s="1"/>
    </row>
    <row r="87" spans="4:7" x14ac:dyDescent="0.25">
      <c r="D87" s="1"/>
      <c r="E87" s="1"/>
      <c r="F87" s="1"/>
      <c r="G87" s="1"/>
    </row>
    <row r="88" spans="4:7" x14ac:dyDescent="0.25">
      <c r="D88" s="1"/>
      <c r="E88" s="1"/>
      <c r="F88" s="1"/>
      <c r="G88" s="1"/>
    </row>
    <row r="89" spans="4:7" x14ac:dyDescent="0.25">
      <c r="D89" s="1"/>
      <c r="E89" s="1"/>
      <c r="F89" s="1"/>
      <c r="G89" s="1"/>
    </row>
    <row r="90" spans="4:7" x14ac:dyDescent="0.25">
      <c r="D90" s="1"/>
      <c r="E90" s="1"/>
      <c r="F90" s="1"/>
      <c r="G90" s="1"/>
    </row>
    <row r="91" spans="4:7" x14ac:dyDescent="0.25">
      <c r="D91" s="1"/>
      <c r="E91" s="1"/>
      <c r="F91" s="1"/>
      <c r="G91" s="1"/>
    </row>
    <row r="92" spans="4:7" x14ac:dyDescent="0.25">
      <c r="D92" s="1"/>
      <c r="E92" s="1"/>
      <c r="F92" s="1"/>
      <c r="G92" s="1"/>
    </row>
    <row r="93" spans="4:7" x14ac:dyDescent="0.25">
      <c r="D93" s="1"/>
      <c r="E93" s="1"/>
      <c r="F93" s="1"/>
      <c r="G93" s="1"/>
    </row>
    <row r="94" spans="4:7" x14ac:dyDescent="0.25">
      <c r="D94" s="1"/>
      <c r="E94" s="1"/>
      <c r="F94" s="1"/>
      <c r="G94" s="1"/>
    </row>
    <row r="95" spans="4:7" x14ac:dyDescent="0.25">
      <c r="D95" s="1"/>
      <c r="E95" s="1"/>
      <c r="F95" s="1"/>
      <c r="G95" s="1"/>
    </row>
    <row r="96" spans="4:7" x14ac:dyDescent="0.25">
      <c r="D96" s="1"/>
      <c r="E96" s="1"/>
      <c r="F96" s="1"/>
      <c r="G96" s="1"/>
    </row>
    <row r="97" spans="4:7" x14ac:dyDescent="0.25">
      <c r="D97" s="1"/>
      <c r="E97" s="1"/>
      <c r="F97" s="1"/>
      <c r="G97" s="1"/>
    </row>
    <row r="98" spans="4:7" x14ac:dyDescent="0.25">
      <c r="D98" s="1"/>
      <c r="E98" s="1"/>
      <c r="F98" s="1"/>
      <c r="G98" s="1"/>
    </row>
    <row r="99" spans="4:7" x14ac:dyDescent="0.25">
      <c r="D99" s="1"/>
      <c r="E99" s="1" t="s">
        <v>1313</v>
      </c>
      <c r="F99" s="1"/>
      <c r="G99" s="1"/>
    </row>
    <row r="100" spans="4:7" x14ac:dyDescent="0.25">
      <c r="D100" s="1"/>
      <c r="E100" s="1"/>
      <c r="F100" s="1"/>
      <c r="G100" s="1"/>
    </row>
    <row r="101" spans="4:7" x14ac:dyDescent="0.25">
      <c r="D101" s="1"/>
      <c r="E101" s="1"/>
      <c r="F101" s="1"/>
      <c r="G101" s="1"/>
    </row>
    <row r="102" spans="4:7" x14ac:dyDescent="0.25">
      <c r="D102" s="1"/>
      <c r="E102" s="1"/>
      <c r="F102" s="1"/>
      <c r="G102" s="1"/>
    </row>
    <row r="115" spans="7:7" x14ac:dyDescent="0.25">
      <c r="G115" s="6">
        <f>G114-G113</f>
        <v>0</v>
      </c>
    </row>
    <row r="386" ht="11.25" customHeight="1" x14ac:dyDescent="0.25"/>
  </sheetData>
  <customSheetViews>
    <customSheetView guid="{7F222B88-8DE7-4209-9261-78C075D2F561}" showPageBreaks="1" printArea="1" hiddenRows="1" view="pageBreakPreview" showRuler="0" topLeftCell="C1">
      <pane ySplit="2" topLeftCell="A14" activePane="bottomLeft" state="frozen"/>
      <selection pane="bottomLeft" activeCell="E12" sqref="E12:E48"/>
      <pageMargins left="0.74803149606299213" right="0.62992125984251968" top="0.70866141732283472" bottom="0.70866141732283472" header="0.51181102362204722" footer="0.51181102362204722"/>
      <pageSetup paperSize="9" scale="67" fitToHeight="0" orientation="portrait" r:id="rId1"/>
      <headerFooter alignWithMargins="0">
        <oddFooter>&amp;C&amp;"Arial Narrow,Regular"Page &amp;P of &amp;N</oddFooter>
      </headerFooter>
    </customSheetView>
  </customSheetViews>
  <mergeCells count="2">
    <mergeCell ref="D4:G4"/>
    <mergeCell ref="D5:G5"/>
  </mergeCells>
  <phoneticPr fontId="17" type="noConversion"/>
  <printOptions horizontalCentered="1"/>
  <pageMargins left="0.31496062992125984" right="0.31496062992125984" top="0.35433070866141736" bottom="0.35433070866141736" header="0.11811023622047245" footer="0.11811023622047245"/>
  <pageSetup paperSize="9" orientation="portrait" r:id="rId2"/>
  <headerFooter alignWithMargins="0">
    <oddFooter>&amp;C&amp;P</oddFooter>
  </headerFooter>
  <ignoredErrors>
    <ignoredError sqref="E46" formula="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O359"/>
  <sheetViews>
    <sheetView showGridLines="0" view="pageBreakPreview" zoomScaleNormal="85" zoomScaleSheetLayoutView="100" workbookViewId="0">
      <pane ySplit="5" topLeftCell="A6" activePane="bottomLeft" state="frozen"/>
      <selection pane="bottomLeft"/>
    </sheetView>
  </sheetViews>
  <sheetFormatPr defaultColWidth="9" defaultRowHeight="14.4" x14ac:dyDescent="0.25"/>
  <cols>
    <col min="1" max="1" width="9.59765625" style="5" bestFit="1" customWidth="1"/>
    <col min="2" max="2" width="7.3984375" style="5" customWidth="1"/>
    <col min="3" max="3" width="1.59765625" style="1" customWidth="1"/>
    <col min="4" max="4" width="53.8984375" style="1" customWidth="1"/>
    <col min="5" max="5" width="7.09765625" style="1" customWidth="1"/>
    <col min="6" max="6" width="10.09765625" style="45" customWidth="1"/>
    <col min="7" max="7" width="10.09765625" style="1" customWidth="1"/>
    <col min="8" max="16384" width="9" style="1"/>
  </cols>
  <sheetData>
    <row r="1" spans="1:8" ht="16.5" customHeight="1" x14ac:dyDescent="0.25">
      <c r="A1" s="146" t="s">
        <v>206</v>
      </c>
      <c r="B1" s="145" t="s">
        <v>207</v>
      </c>
      <c r="C1" s="51" t="str">
        <f>IF('Merge Details_Printing instr'!$B$11="Insert details here",'Merge Details_Printing instr'!$A$11,'Merge Details_Printing instr'!$B$11)</f>
        <v>Council Name</v>
      </c>
      <c r="D1" s="225"/>
    </row>
    <row r="2" spans="1:8" ht="16.5" customHeight="1" x14ac:dyDescent="0.3">
      <c r="A2" s="504" t="s">
        <v>696</v>
      </c>
      <c r="B2" s="27"/>
      <c r="C2" s="84" t="str">
        <f>+'Merge Details_Printing instr'!A12</f>
        <v>2023-2024 Financial Report</v>
      </c>
      <c r="D2" s="226"/>
      <c r="E2" s="78"/>
      <c r="F2" s="91"/>
      <c r="G2" s="92"/>
    </row>
    <row r="3" spans="1:8" s="197" customFormat="1" ht="5.25" customHeight="1" x14ac:dyDescent="0.3">
      <c r="A3" s="192"/>
      <c r="B3" s="193"/>
      <c r="C3" s="193"/>
      <c r="D3" s="193"/>
      <c r="E3" s="194"/>
      <c r="F3" s="195"/>
      <c r="G3" s="196"/>
    </row>
    <row r="4" spans="1:8" ht="20.25" customHeight="1" x14ac:dyDescent="0.35">
      <c r="A4" s="2099" t="s">
        <v>62</v>
      </c>
      <c r="B4" s="2099"/>
      <c r="C4" s="2099"/>
      <c r="D4" s="2099"/>
      <c r="E4" s="2099"/>
      <c r="F4" s="2099"/>
      <c r="G4" s="2099"/>
    </row>
    <row r="5" spans="1:8" s="29" customFormat="1" ht="20.25" customHeight="1" x14ac:dyDescent="0.35">
      <c r="A5" s="2100" t="str">
        <f>+'Merge Details_Printing instr'!A14</f>
        <v>For the Year Ended 30 June 2024</v>
      </c>
      <c r="B5" s="2100"/>
      <c r="C5" s="2100"/>
      <c r="D5" s="2100"/>
      <c r="E5" s="2100"/>
      <c r="F5" s="2100"/>
      <c r="G5" s="2100"/>
    </row>
    <row r="6" spans="1:8" s="3" customFormat="1" ht="15" x14ac:dyDescent="0.3">
      <c r="A6" s="142">
        <v>101</v>
      </c>
      <c r="B6" s="142">
        <v>112</v>
      </c>
      <c r="D6" s="136"/>
      <c r="E6" s="136"/>
      <c r="F6" s="784">
        <f>+'Merge Details_Printing instr'!A19</f>
        <v>2024</v>
      </c>
      <c r="G6" s="784">
        <f>+'Merge Details_Printing instr'!A20</f>
        <v>2023</v>
      </c>
      <c r="H6" s="56"/>
    </row>
    <row r="7" spans="1:8" s="3" customFormat="1" ht="14.4" customHeight="1" x14ac:dyDescent="0.3">
      <c r="A7" s="142">
        <v>101</v>
      </c>
      <c r="B7" s="142" t="s">
        <v>677</v>
      </c>
      <c r="D7" s="136"/>
      <c r="E7" s="136"/>
      <c r="F7" s="838" t="s">
        <v>104</v>
      </c>
      <c r="G7" s="838" t="s">
        <v>104</v>
      </c>
    </row>
    <row r="8" spans="1:8" s="3" customFormat="1" ht="14.4" customHeight="1" x14ac:dyDescent="0.3">
      <c r="A8" s="142">
        <v>107</v>
      </c>
      <c r="B8" s="142">
        <v>1</v>
      </c>
      <c r="D8" s="136"/>
      <c r="E8" s="136"/>
      <c r="F8" s="839" t="s">
        <v>105</v>
      </c>
      <c r="G8" s="839" t="s">
        <v>105</v>
      </c>
    </row>
    <row r="9" spans="1:8" s="3" customFormat="1" ht="14.4" customHeight="1" x14ac:dyDescent="0.3">
      <c r="A9" s="142">
        <v>107</v>
      </c>
      <c r="B9" s="142">
        <v>10</v>
      </c>
      <c r="D9" s="136"/>
      <c r="E9" s="840" t="s">
        <v>286</v>
      </c>
      <c r="F9" s="839" t="str">
        <f>+'Merge Details_Printing instr'!A24</f>
        <v>$'000</v>
      </c>
      <c r="G9" s="839" t="str">
        <f>+'Merge Details_Printing instr'!A24</f>
        <v>$'000</v>
      </c>
    </row>
    <row r="10" spans="1:8" s="3" customFormat="1" ht="14.4" customHeight="1" x14ac:dyDescent="0.3">
      <c r="A10" s="142">
        <v>107</v>
      </c>
      <c r="B10" s="142">
        <v>18</v>
      </c>
      <c r="D10" s="798" t="s">
        <v>158</v>
      </c>
      <c r="E10" s="796"/>
      <c r="F10" s="841"/>
      <c r="G10" s="842"/>
    </row>
    <row r="11" spans="1:8" s="3" customFormat="1" ht="15" x14ac:dyDescent="0.3">
      <c r="A11" s="142">
        <v>107</v>
      </c>
      <c r="B11" s="142">
        <v>14</v>
      </c>
      <c r="D11" s="796" t="s">
        <v>287</v>
      </c>
      <c r="E11" s="804"/>
      <c r="F11" s="792">
        <f>46123</f>
        <v>46123</v>
      </c>
      <c r="G11" s="792">
        <v>42983</v>
      </c>
    </row>
    <row r="12" spans="1:8" s="3" customFormat="1" ht="14.4" customHeight="1" x14ac:dyDescent="0.3">
      <c r="A12" s="142"/>
      <c r="B12" s="142"/>
      <c r="D12" s="796" t="s">
        <v>67</v>
      </c>
      <c r="E12" s="804"/>
      <c r="F12" s="792">
        <v>651</v>
      </c>
      <c r="G12" s="792">
        <v>2703</v>
      </c>
    </row>
    <row r="13" spans="1:8" s="3" customFormat="1" ht="14.4" customHeight="1" x14ac:dyDescent="0.3">
      <c r="A13" s="142" t="s">
        <v>579</v>
      </c>
      <c r="B13" s="142" t="s">
        <v>678</v>
      </c>
      <c r="D13" s="843" t="s">
        <v>456</v>
      </c>
      <c r="E13" s="804"/>
      <c r="F13" s="792">
        <v>7826</v>
      </c>
      <c r="G13" s="792">
        <v>7442</v>
      </c>
    </row>
    <row r="14" spans="1:8" s="3" customFormat="1" ht="14.4" customHeight="1" x14ac:dyDescent="0.3">
      <c r="A14" s="142">
        <v>107</v>
      </c>
      <c r="B14" s="142">
        <v>14</v>
      </c>
      <c r="D14" s="844" t="s">
        <v>108</v>
      </c>
      <c r="E14" s="804"/>
      <c r="F14" s="792">
        <f>21000</f>
        <v>21000</v>
      </c>
      <c r="G14" s="792">
        <v>16500</v>
      </c>
    </row>
    <row r="15" spans="1:8" s="3" customFormat="1" ht="14.4" customHeight="1" x14ac:dyDescent="0.3">
      <c r="A15" s="142">
        <v>107</v>
      </c>
      <c r="B15" s="142">
        <v>14</v>
      </c>
      <c r="D15" s="844" t="s">
        <v>1688</v>
      </c>
      <c r="E15" s="791">
        <v>2.5</v>
      </c>
      <c r="F15" s="792">
        <f>'Notes 2 to 5'!K141</f>
        <v>1562</v>
      </c>
      <c r="G15" s="792">
        <f>'Notes 2 to 5'!M141</f>
        <v>1254</v>
      </c>
      <c r="H15" s="308" t="s">
        <v>1687</v>
      </c>
    </row>
    <row r="16" spans="1:8" s="3" customFormat="1" ht="14.4" customHeight="1" x14ac:dyDescent="0.3">
      <c r="A16" s="142">
        <v>107</v>
      </c>
      <c r="B16" s="142">
        <v>14</v>
      </c>
      <c r="D16" s="796" t="s">
        <v>545</v>
      </c>
      <c r="E16" s="804"/>
      <c r="F16" s="792">
        <v>0</v>
      </c>
      <c r="G16" s="792">
        <v>0</v>
      </c>
    </row>
    <row r="17" spans="1:15" s="3" customFormat="1" ht="14.4" customHeight="1" x14ac:dyDescent="0.3">
      <c r="A17" s="142">
        <v>107</v>
      </c>
      <c r="B17" s="142">
        <v>31</v>
      </c>
      <c r="D17" s="796" t="s">
        <v>1583</v>
      </c>
      <c r="E17" s="804"/>
      <c r="F17" s="792">
        <v>1264</v>
      </c>
      <c r="G17" s="792">
        <v>1179</v>
      </c>
      <c r="N17" s="246"/>
      <c r="O17" s="246"/>
    </row>
    <row r="18" spans="1:15" s="3" customFormat="1" ht="14.4" customHeight="1" x14ac:dyDescent="0.3">
      <c r="A18" s="142" t="s">
        <v>579</v>
      </c>
      <c r="B18" s="142" t="s">
        <v>678</v>
      </c>
      <c r="D18" s="796" t="s">
        <v>1348</v>
      </c>
      <c r="E18" s="804"/>
      <c r="F18" s="792">
        <v>0</v>
      </c>
      <c r="G18" s="792">
        <v>0</v>
      </c>
      <c r="I18" s="368"/>
      <c r="N18" s="246"/>
      <c r="O18" s="246"/>
    </row>
    <row r="19" spans="1:15" s="3" customFormat="1" ht="14.4" customHeight="1" x14ac:dyDescent="0.3">
      <c r="A19" s="142">
        <v>107</v>
      </c>
      <c r="B19" s="142">
        <v>31</v>
      </c>
      <c r="D19" s="796" t="s">
        <v>271</v>
      </c>
      <c r="E19" s="804"/>
      <c r="F19" s="792">
        <v>0</v>
      </c>
      <c r="G19" s="792">
        <v>0</v>
      </c>
      <c r="N19" s="246"/>
      <c r="O19" s="246"/>
    </row>
    <row r="20" spans="1:15" s="246" customFormat="1" ht="14.4" customHeight="1" x14ac:dyDescent="0.3">
      <c r="A20" s="254">
        <v>107</v>
      </c>
      <c r="B20" s="254">
        <v>31</v>
      </c>
      <c r="D20" s="796" t="s">
        <v>30</v>
      </c>
      <c r="E20" s="845">
        <f>'Notes 2 to 5'!E216</f>
        <v>2.9000000000000008</v>
      </c>
      <c r="F20" s="792">
        <f>'Notes 2 to 5'!K220</f>
        <v>0</v>
      </c>
      <c r="G20" s="792">
        <f>'Notes 2 to 5'!M220</f>
        <v>0</v>
      </c>
      <c r="H20" s="613"/>
    </row>
    <row r="21" spans="1:15" s="3" customFormat="1" ht="14.4" customHeight="1" x14ac:dyDescent="0.3">
      <c r="A21" s="142" t="s">
        <v>579</v>
      </c>
      <c r="B21" s="142" t="s">
        <v>678</v>
      </c>
      <c r="D21" s="796" t="s">
        <v>98</v>
      </c>
      <c r="E21" s="804"/>
      <c r="F21" s="792">
        <v>2099</v>
      </c>
      <c r="G21" s="792">
        <v>2363</v>
      </c>
      <c r="N21" s="246"/>
      <c r="O21" s="246"/>
    </row>
    <row r="22" spans="1:15" s="3" customFormat="1" ht="14.4" customHeight="1" x14ac:dyDescent="0.3">
      <c r="A22" s="142"/>
      <c r="B22" s="142"/>
      <c r="D22" s="796" t="s">
        <v>1602</v>
      </c>
      <c r="E22" s="804"/>
      <c r="F22" s="792">
        <v>100</v>
      </c>
      <c r="G22" s="792">
        <v>816</v>
      </c>
      <c r="K22" s="246"/>
      <c r="L22" s="246"/>
      <c r="M22" s="246"/>
      <c r="N22" s="246"/>
      <c r="O22" s="246"/>
    </row>
    <row r="23" spans="1:15" s="3" customFormat="1" ht="14.4" customHeight="1" x14ac:dyDescent="0.3">
      <c r="A23" s="142" t="s">
        <v>579</v>
      </c>
      <c r="B23" s="142" t="s">
        <v>678</v>
      </c>
      <c r="D23" s="796" t="s">
        <v>429</v>
      </c>
      <c r="E23" s="804"/>
      <c r="F23" s="792">
        <f>-23368</f>
        <v>-23368</v>
      </c>
      <c r="G23" s="792">
        <f>-23328-450</f>
        <v>-23778</v>
      </c>
      <c r="K23" s="246"/>
      <c r="L23" s="246"/>
      <c r="M23" s="246"/>
      <c r="N23" s="246"/>
      <c r="O23" s="246"/>
    </row>
    <row r="24" spans="1:15" s="3" customFormat="1" ht="15" x14ac:dyDescent="0.3">
      <c r="A24" s="142">
        <v>107</v>
      </c>
      <c r="B24" s="142" t="s">
        <v>679</v>
      </c>
      <c r="D24" s="796" t="s">
        <v>1974</v>
      </c>
      <c r="E24" s="804"/>
      <c r="F24" s="792">
        <v>-29834</v>
      </c>
      <c r="G24" s="792">
        <v>-34421</v>
      </c>
      <c r="I24" s="761" t="s">
        <v>1811</v>
      </c>
      <c r="K24" s="246"/>
      <c r="L24" s="246"/>
      <c r="M24" s="246"/>
      <c r="N24" s="246"/>
      <c r="O24" s="246"/>
    </row>
    <row r="25" spans="1:15" s="3" customFormat="1" ht="14.4" customHeight="1" x14ac:dyDescent="0.3">
      <c r="A25" s="142">
        <v>107</v>
      </c>
      <c r="B25" s="142" t="s">
        <v>165</v>
      </c>
      <c r="D25" s="796" t="s">
        <v>1584</v>
      </c>
      <c r="E25" s="846"/>
      <c r="F25" s="792">
        <f>-228-450</f>
        <v>-678</v>
      </c>
      <c r="G25" s="792">
        <f>-320-450</f>
        <v>-770</v>
      </c>
      <c r="H25" s="286" t="s">
        <v>795</v>
      </c>
      <c r="K25" s="246"/>
      <c r="L25" s="246"/>
      <c r="M25" s="246"/>
      <c r="N25" s="246"/>
      <c r="O25" s="246"/>
    </row>
    <row r="26" spans="1:15" s="3" customFormat="1" ht="14.4" customHeight="1" x14ac:dyDescent="0.3">
      <c r="A26" s="142">
        <v>107</v>
      </c>
      <c r="B26" s="142">
        <v>14</v>
      </c>
      <c r="D26" s="796" t="s">
        <v>640</v>
      </c>
      <c r="E26" s="846"/>
      <c r="F26" s="795">
        <f>-7309-1000-100-543+4000-1000</f>
        <v>-5952</v>
      </c>
      <c r="G26" s="795">
        <f>-5940-250-114+1000</f>
        <v>-5304</v>
      </c>
      <c r="K26" s="246"/>
      <c r="L26" s="246"/>
      <c r="M26" s="246"/>
      <c r="N26" s="246"/>
      <c r="O26" s="246"/>
    </row>
    <row r="27" spans="1:15" s="3" customFormat="1" ht="15.75" customHeight="1" x14ac:dyDescent="0.3">
      <c r="A27" s="233">
        <v>107</v>
      </c>
      <c r="B27" s="233">
        <v>20.2</v>
      </c>
      <c r="D27" s="802" t="s">
        <v>628</v>
      </c>
      <c r="E27" s="845">
        <f>'Note 9'!D72</f>
        <v>9.1999999999999993</v>
      </c>
      <c r="F27" s="797">
        <f>SUM(F11:F26)</f>
        <v>20793</v>
      </c>
      <c r="G27" s="797">
        <f>SUM(G11:G26)</f>
        <v>10967</v>
      </c>
      <c r="H27" s="702">
        <f>G27-'Note 9'!J89</f>
        <v>0</v>
      </c>
      <c r="I27" s="703">
        <f>G6</f>
        <v>2023</v>
      </c>
      <c r="J27" s="308" t="s">
        <v>1642</v>
      </c>
      <c r="M27" s="246"/>
      <c r="N27" s="246"/>
      <c r="O27" s="246"/>
    </row>
    <row r="28" spans="1:15" s="3" customFormat="1" ht="14.4" customHeight="1" x14ac:dyDescent="0.3">
      <c r="A28" s="142"/>
      <c r="B28" s="142"/>
      <c r="D28" s="136"/>
      <c r="E28" s="160"/>
      <c r="F28" s="792"/>
      <c r="G28" s="792"/>
      <c r="H28" s="702">
        <f>F27-'Note 9'!I89</f>
        <v>0</v>
      </c>
      <c r="I28" s="703">
        <f>F6</f>
        <v>2024</v>
      </c>
      <c r="J28" s="308" t="s">
        <v>1642</v>
      </c>
    </row>
    <row r="29" spans="1:15" s="3" customFormat="1" ht="14.4" customHeight="1" x14ac:dyDescent="0.3">
      <c r="A29" s="142">
        <v>107</v>
      </c>
      <c r="B29" s="142">
        <v>10</v>
      </c>
      <c r="D29" s="847" t="s">
        <v>416</v>
      </c>
      <c r="E29" s="160"/>
      <c r="F29" s="792"/>
      <c r="G29" s="792"/>
    </row>
    <row r="30" spans="1:15" s="3" customFormat="1" ht="15" x14ac:dyDescent="0.3">
      <c r="A30" s="142">
        <v>107</v>
      </c>
      <c r="B30" s="142" t="s">
        <v>164</v>
      </c>
      <c r="D30" s="796" t="s">
        <v>488</v>
      </c>
      <c r="E30" s="804"/>
      <c r="F30" s="805">
        <f>-'Note 6 (cont) '!G49+'Notes 2 to 5'!K150</f>
        <v>-22432</v>
      </c>
      <c r="G30" s="805">
        <f>-'Note 6 (cont) '!G101+'Notes 2 to 5'!M150</f>
        <v>-21383</v>
      </c>
    </row>
    <row r="31" spans="1:15" s="3" customFormat="1" ht="14.4" customHeight="1" x14ac:dyDescent="0.3">
      <c r="A31" s="142">
        <v>107</v>
      </c>
      <c r="B31" s="142" t="s">
        <v>164</v>
      </c>
      <c r="D31" s="796" t="s">
        <v>489</v>
      </c>
      <c r="E31" s="804"/>
      <c r="F31" s="805">
        <v>3561</v>
      </c>
      <c r="G31" s="792">
        <v>3174</v>
      </c>
    </row>
    <row r="32" spans="1:15" s="3" customFormat="1" ht="14.4" customHeight="1" x14ac:dyDescent="0.3">
      <c r="A32" s="142">
        <v>107</v>
      </c>
      <c r="B32" s="142" t="s">
        <v>678</v>
      </c>
      <c r="D32" s="844" t="s">
        <v>1975</v>
      </c>
      <c r="E32" s="804"/>
      <c r="F32" s="805">
        <v>0</v>
      </c>
      <c r="G32" s="805">
        <v>0</v>
      </c>
    </row>
    <row r="33" spans="1:9" s="3" customFormat="1" ht="14.4" customHeight="1" x14ac:dyDescent="0.3">
      <c r="A33" s="142">
        <v>107</v>
      </c>
      <c r="B33" s="142" t="s">
        <v>164</v>
      </c>
      <c r="D33" s="796" t="s">
        <v>323</v>
      </c>
      <c r="E33" s="804"/>
      <c r="F33" s="805">
        <f>-'Note 6 to 8'!Q7</f>
        <v>-2000</v>
      </c>
      <c r="G33" s="805">
        <f>-'Note 6 to 8'!T7</f>
        <v>0</v>
      </c>
    </row>
    <row r="34" spans="1:9" s="3" customFormat="1" ht="14.4" customHeight="1" x14ac:dyDescent="0.3">
      <c r="A34" s="142">
        <v>107</v>
      </c>
      <c r="B34" s="142" t="s">
        <v>164</v>
      </c>
      <c r="D34" s="796" t="s">
        <v>136</v>
      </c>
      <c r="E34" s="804"/>
      <c r="F34" s="805">
        <f>-'Note 6 to 8'!Q8</f>
        <v>5000</v>
      </c>
      <c r="G34" s="805">
        <f>-'Note 6 to 8'!T8</f>
        <v>0</v>
      </c>
    </row>
    <row r="35" spans="1:9" s="3" customFormat="1" ht="14.4" customHeight="1" x14ac:dyDescent="0.3">
      <c r="A35" s="142">
        <v>107</v>
      </c>
      <c r="B35" s="142" t="s">
        <v>164</v>
      </c>
      <c r="D35" s="796" t="s">
        <v>1596</v>
      </c>
      <c r="E35" s="804"/>
      <c r="F35" s="805">
        <v>-4</v>
      </c>
      <c r="G35" s="805">
        <v>0</v>
      </c>
      <c r="H35" s="497"/>
    </row>
    <row r="36" spans="1:9" s="3" customFormat="1" ht="14.4" customHeight="1" x14ac:dyDescent="0.3">
      <c r="A36" s="142">
        <v>107</v>
      </c>
      <c r="B36" s="142" t="s">
        <v>164</v>
      </c>
      <c r="D36" s="796" t="s">
        <v>1601</v>
      </c>
      <c r="E36" s="804"/>
      <c r="F36" s="792">
        <v>0</v>
      </c>
      <c r="G36" s="805">
        <v>187</v>
      </c>
    </row>
    <row r="37" spans="1:9" s="3" customFormat="1" ht="14.4" customHeight="1" x14ac:dyDescent="0.3">
      <c r="A37" s="142">
        <v>107</v>
      </c>
      <c r="B37" s="142" t="s">
        <v>164</v>
      </c>
      <c r="D37" s="844" t="s">
        <v>146</v>
      </c>
      <c r="E37" s="804"/>
      <c r="F37" s="805">
        <v>0</v>
      </c>
      <c r="G37" s="805">
        <v>0</v>
      </c>
    </row>
    <row r="38" spans="1:9" s="3" customFormat="1" ht="14.4" customHeight="1" x14ac:dyDescent="0.3">
      <c r="A38" s="142">
        <v>107</v>
      </c>
      <c r="B38" s="142" t="s">
        <v>164</v>
      </c>
      <c r="D38" s="796" t="s">
        <v>259</v>
      </c>
      <c r="E38" s="804"/>
      <c r="F38" s="806">
        <v>0</v>
      </c>
      <c r="G38" s="806">
        <v>0</v>
      </c>
    </row>
    <row r="39" spans="1:9" s="3" customFormat="1" ht="15" x14ac:dyDescent="0.3">
      <c r="A39" s="142"/>
      <c r="B39" s="142"/>
      <c r="D39" s="798" t="s">
        <v>316</v>
      </c>
      <c r="E39" s="160"/>
      <c r="F39" s="797">
        <f>SUM(F30:F38)</f>
        <v>-15875</v>
      </c>
      <c r="G39" s="797">
        <f>SUM(G30:G38)</f>
        <v>-18022</v>
      </c>
    </row>
    <row r="40" spans="1:9" s="3" customFormat="1" ht="14.4" customHeight="1" x14ac:dyDescent="0.3">
      <c r="A40" s="142"/>
      <c r="B40" s="142"/>
      <c r="D40" s="136"/>
      <c r="E40" s="160"/>
      <c r="F40" s="792"/>
      <c r="G40" s="792"/>
    </row>
    <row r="41" spans="1:9" s="3" customFormat="1" ht="14.4" customHeight="1" x14ac:dyDescent="0.3">
      <c r="A41" s="142">
        <v>107</v>
      </c>
      <c r="B41" s="142">
        <v>10</v>
      </c>
      <c r="D41" s="847" t="s">
        <v>53</v>
      </c>
      <c r="E41" s="160"/>
      <c r="F41" s="792"/>
      <c r="G41" s="792"/>
    </row>
    <row r="42" spans="1:9" s="246" customFormat="1" ht="14.4" customHeight="1" x14ac:dyDescent="0.3">
      <c r="A42" s="142">
        <v>107</v>
      </c>
      <c r="B42" s="142" t="s">
        <v>165</v>
      </c>
      <c r="C42" s="3"/>
      <c r="D42" s="796" t="s">
        <v>1600</v>
      </c>
      <c r="E42" s="804"/>
      <c r="F42" s="792">
        <v>0</v>
      </c>
      <c r="G42" s="792">
        <v>0</v>
      </c>
    </row>
    <row r="43" spans="1:9" s="246" customFormat="1" ht="14.4" customHeight="1" x14ac:dyDescent="0.3">
      <c r="A43" s="254">
        <v>16</v>
      </c>
      <c r="B43" s="254">
        <v>50</v>
      </c>
      <c r="D43" s="796" t="s">
        <v>1585</v>
      </c>
      <c r="E43" s="804"/>
      <c r="F43" s="792">
        <f>-'Note 6 to 8'!H218</f>
        <v>-3550</v>
      </c>
      <c r="G43" s="792">
        <f>-'Note 6 to 8'!H223</f>
        <v>-3550</v>
      </c>
      <c r="H43" s="451">
        <v>7.4</v>
      </c>
      <c r="I43" s="307" t="s">
        <v>1543</v>
      </c>
    </row>
    <row r="44" spans="1:9" s="3" customFormat="1" ht="14.4" customHeight="1" x14ac:dyDescent="0.3">
      <c r="A44" s="142">
        <v>107</v>
      </c>
      <c r="B44" s="142" t="s">
        <v>165</v>
      </c>
      <c r="D44" s="796" t="s">
        <v>176</v>
      </c>
      <c r="E44" s="804"/>
      <c r="F44" s="792">
        <v>0</v>
      </c>
      <c r="G44" s="792">
        <v>0</v>
      </c>
    </row>
    <row r="45" spans="1:9" s="3" customFormat="1" ht="14.4" customHeight="1" x14ac:dyDescent="0.3">
      <c r="A45" s="142">
        <v>107</v>
      </c>
      <c r="B45" s="142" t="s">
        <v>165</v>
      </c>
      <c r="D45" s="796" t="s">
        <v>177</v>
      </c>
      <c r="E45" s="804"/>
      <c r="F45" s="806">
        <v>-2690</v>
      </c>
      <c r="G45" s="806">
        <v>-1161</v>
      </c>
    </row>
    <row r="46" spans="1:9" s="3" customFormat="1" ht="15.75" customHeight="1" x14ac:dyDescent="0.3">
      <c r="A46" s="142"/>
      <c r="B46" s="142"/>
      <c r="D46" s="798" t="s">
        <v>417</v>
      </c>
      <c r="E46" s="845">
        <f>'Note 9'!D91</f>
        <v>9.3000000000000007</v>
      </c>
      <c r="F46" s="848">
        <f>SUM(F42:F45)</f>
        <v>-6240</v>
      </c>
      <c r="G46" s="848">
        <f>SUM(G42:G45)</f>
        <v>-4711</v>
      </c>
      <c r="H46" s="725">
        <f>E46</f>
        <v>9.3000000000000007</v>
      </c>
    </row>
    <row r="47" spans="1:9" s="3" customFormat="1" ht="14.4" customHeight="1" x14ac:dyDescent="0.3">
      <c r="A47" s="142"/>
      <c r="B47" s="142"/>
      <c r="D47" s="796"/>
      <c r="E47" s="796"/>
      <c r="F47" s="792"/>
      <c r="G47" s="792"/>
      <c r="H47" s="307"/>
    </row>
    <row r="48" spans="1:9" s="3" customFormat="1" ht="15" x14ac:dyDescent="0.3">
      <c r="A48" s="142"/>
      <c r="B48" s="142"/>
      <c r="D48" s="812" t="s">
        <v>494</v>
      </c>
      <c r="E48" s="804"/>
      <c r="F48" s="849">
        <f>SUM(F27,F39,F46)</f>
        <v>-1322</v>
      </c>
      <c r="G48" s="849">
        <f>SUM(G27,G39,G46)</f>
        <v>-11766</v>
      </c>
      <c r="H48" s="307"/>
    </row>
    <row r="49" spans="1:8" s="3" customFormat="1" ht="14.4" customHeight="1" x14ac:dyDescent="0.3">
      <c r="A49" s="142"/>
      <c r="B49" s="142"/>
      <c r="D49" s="796" t="s">
        <v>182</v>
      </c>
      <c r="E49" s="804"/>
      <c r="F49" s="792">
        <f>G50</f>
        <v>14783</v>
      </c>
      <c r="G49" s="792">
        <f>25985+564</f>
        <v>26549</v>
      </c>
      <c r="H49" s="307"/>
    </row>
    <row r="50" spans="1:8" s="3" customFormat="1" ht="15.75" customHeight="1" thickBot="1" x14ac:dyDescent="0.35">
      <c r="A50" s="142"/>
      <c r="B50" s="142"/>
      <c r="D50" s="802" t="s">
        <v>139</v>
      </c>
      <c r="E50" s="845">
        <f>'Note 9'!D119</f>
        <v>9.4</v>
      </c>
      <c r="F50" s="850">
        <f>+F48+F49</f>
        <v>13461</v>
      </c>
      <c r="G50" s="850">
        <f>+G48+G49</f>
        <v>14783</v>
      </c>
      <c r="H50" s="725">
        <f>E50</f>
        <v>9.4</v>
      </c>
    </row>
    <row r="51" spans="1:8" s="3" customFormat="1" ht="11.25" customHeight="1" x14ac:dyDescent="0.3">
      <c r="A51" s="142"/>
      <c r="B51" s="142"/>
      <c r="D51" s="136"/>
      <c r="E51" s="160"/>
      <c r="F51" s="776"/>
      <c r="G51" s="776"/>
      <c r="H51" s="451"/>
    </row>
    <row r="52" spans="1:8" s="3" customFormat="1" ht="14.4" customHeight="1" x14ac:dyDescent="0.3">
      <c r="A52" s="142">
        <v>7</v>
      </c>
      <c r="B52" s="142">
        <v>31</v>
      </c>
      <c r="D52" s="136" t="s">
        <v>641</v>
      </c>
      <c r="E52" s="845">
        <f>'Notes 2 to 5'!E390</f>
        <v>4.0999999999999996</v>
      </c>
      <c r="F52" s="776"/>
      <c r="G52" s="776"/>
      <c r="H52" s="725">
        <f t="shared" ref="H52:H54" si="0">E52</f>
        <v>4.0999999999999996</v>
      </c>
    </row>
    <row r="53" spans="1:8" s="3" customFormat="1" ht="14.4" customHeight="1" x14ac:dyDescent="0.3">
      <c r="A53" s="142">
        <v>107</v>
      </c>
      <c r="B53" s="142">
        <v>48</v>
      </c>
      <c r="D53" s="136" t="s">
        <v>99</v>
      </c>
      <c r="E53" s="845">
        <f>'Note 9'!D124</f>
        <v>9.5</v>
      </c>
      <c r="F53" s="776"/>
      <c r="G53" s="776"/>
      <c r="H53" s="725">
        <f t="shared" si="0"/>
        <v>9.5</v>
      </c>
    </row>
    <row r="54" spans="1:8" s="3" customFormat="1" ht="14.4" customHeight="1" x14ac:dyDescent="0.3">
      <c r="A54" s="142">
        <v>107</v>
      </c>
      <c r="B54" s="142">
        <v>43</v>
      </c>
      <c r="D54" s="136" t="s">
        <v>100</v>
      </c>
      <c r="E54" s="845">
        <f>'Note 9'!D129</f>
        <v>9.6</v>
      </c>
      <c r="F54" s="776"/>
      <c r="G54" s="776"/>
      <c r="H54" s="725">
        <f t="shared" si="0"/>
        <v>9.6</v>
      </c>
    </row>
    <row r="55" spans="1:8" s="3" customFormat="1" ht="9" customHeight="1" x14ac:dyDescent="0.3">
      <c r="A55" s="142"/>
      <c r="B55" s="142"/>
      <c r="D55" s="851"/>
      <c r="E55" s="160"/>
      <c r="F55" s="776"/>
      <c r="G55" s="776"/>
    </row>
    <row r="56" spans="1:8" s="3" customFormat="1" ht="14.4" customHeight="1" x14ac:dyDescent="0.3">
      <c r="A56" s="142"/>
      <c r="B56" s="142"/>
      <c r="D56" s="817" t="s">
        <v>63</v>
      </c>
      <c r="E56" s="852"/>
      <c r="F56" s="853"/>
      <c r="G56" s="854"/>
    </row>
    <row r="57" spans="1:8" x14ac:dyDescent="0.3">
      <c r="A57" s="160"/>
      <c r="B57" s="160"/>
      <c r="C57" s="136"/>
      <c r="D57" s="136"/>
      <c r="F57" s="175">
        <f>'Stat'' of Financial Position'!F10</f>
        <v>13461</v>
      </c>
      <c r="G57" s="175">
        <f>'Stat'' of Financial Position'!G10</f>
        <v>14783</v>
      </c>
      <c r="H57" s="498" t="s">
        <v>1234</v>
      </c>
    </row>
    <row r="58" spans="1:8" x14ac:dyDescent="0.3">
      <c r="A58" s="160"/>
      <c r="B58" s="160"/>
      <c r="C58" s="136"/>
      <c r="D58" s="136"/>
      <c r="E58" s="160"/>
      <c r="F58" s="175">
        <f>F57-F50</f>
        <v>0</v>
      </c>
      <c r="G58" s="175">
        <f>G57-G50</f>
        <v>0</v>
      </c>
      <c r="H58" s="1" t="s">
        <v>749</v>
      </c>
    </row>
    <row r="59" spans="1:8" x14ac:dyDescent="0.3">
      <c r="A59" s="160"/>
      <c r="B59" s="160"/>
      <c r="C59" s="136"/>
      <c r="D59" s="136"/>
      <c r="E59" s="160"/>
      <c r="F59" s="175"/>
      <c r="G59" s="136"/>
    </row>
    <row r="60" spans="1:8" x14ac:dyDescent="0.3">
      <c r="A60" s="160"/>
      <c r="B60" s="160"/>
      <c r="C60" s="136"/>
      <c r="D60" s="136"/>
      <c r="E60" s="160"/>
      <c r="F60" s="175"/>
      <c r="G60" s="136"/>
    </row>
    <row r="61" spans="1:8" x14ac:dyDescent="0.3">
      <c r="A61" s="160"/>
      <c r="B61" s="160"/>
      <c r="C61" s="136"/>
      <c r="D61" s="136"/>
      <c r="E61" s="160"/>
      <c r="F61" s="175"/>
      <c r="G61" s="136"/>
    </row>
    <row r="62" spans="1:8" x14ac:dyDescent="0.3">
      <c r="A62" s="160"/>
      <c r="B62" s="160"/>
      <c r="C62" s="136"/>
      <c r="D62" s="136"/>
      <c r="E62" s="160"/>
      <c r="F62" s="175"/>
      <c r="G62" s="136"/>
    </row>
    <row r="63" spans="1:8" x14ac:dyDescent="0.3">
      <c r="A63" s="160"/>
      <c r="B63" s="160"/>
      <c r="C63" s="136"/>
      <c r="D63" s="136"/>
      <c r="E63" s="160"/>
      <c r="F63" s="175"/>
      <c r="G63" s="136"/>
    </row>
    <row r="64" spans="1:8" x14ac:dyDescent="0.3">
      <c r="A64" s="160"/>
      <c r="B64" s="160"/>
      <c r="C64" s="136"/>
      <c r="D64" s="136"/>
      <c r="E64" s="160"/>
      <c r="F64" s="175"/>
      <c r="G64" s="136"/>
    </row>
    <row r="65" spans="1:7" x14ac:dyDescent="0.3">
      <c r="A65" s="160"/>
      <c r="B65" s="160"/>
      <c r="C65" s="136"/>
      <c r="D65" s="136"/>
      <c r="E65" s="160"/>
      <c r="F65" s="175"/>
      <c r="G65" s="136"/>
    </row>
    <row r="66" spans="1:7" x14ac:dyDescent="0.3">
      <c r="A66" s="160"/>
      <c r="B66" s="160"/>
      <c r="C66" s="136"/>
      <c r="D66" s="136"/>
      <c r="E66" s="136"/>
      <c r="F66" s="175"/>
      <c r="G66" s="136"/>
    </row>
    <row r="67" spans="1:7" x14ac:dyDescent="0.3">
      <c r="A67" s="160"/>
      <c r="B67" s="160"/>
      <c r="C67" s="136"/>
      <c r="D67" s="136"/>
      <c r="E67" s="136"/>
      <c r="F67" s="175"/>
      <c r="G67" s="136"/>
    </row>
    <row r="68" spans="1:7" x14ac:dyDescent="0.3">
      <c r="A68" s="160"/>
      <c r="B68" s="160"/>
      <c r="C68" s="136"/>
      <c r="D68" s="136"/>
      <c r="E68" s="136"/>
      <c r="F68" s="175"/>
      <c r="G68" s="136"/>
    </row>
    <row r="359" ht="11.25" customHeight="1" x14ac:dyDescent="0.25"/>
  </sheetData>
  <customSheetViews>
    <customSheetView guid="{7F222B88-8DE7-4209-9261-78C075D2F561}" scale="75" showPageBreaks="1" printArea="1" hiddenRows="1" hiddenColumns="1" view="pageBreakPreview" showRuler="0">
      <pane ySplit="2" topLeftCell="A10" activePane="bottomLeft" state="frozen"/>
      <selection pane="bottomLeft" activeCell="E12" sqref="E12:E48"/>
      <pageMargins left="0.74803149606299213" right="0.62992125984251968" top="0.70866141732283472" bottom="0.70866141732283472" header="0.51181102362204722" footer="0.51181102362204722"/>
      <pageSetup paperSize="9" scale="61" orientation="portrait" r:id="rId1"/>
      <headerFooter alignWithMargins="0">
        <oddFooter>&amp;C&amp;"Arial Narrow,Regular"Page &amp;P of &amp;N</oddFooter>
      </headerFooter>
    </customSheetView>
  </customSheetViews>
  <mergeCells count="2">
    <mergeCell ref="A4:G4"/>
    <mergeCell ref="A5:G5"/>
  </mergeCells>
  <phoneticPr fontId="0" type="noConversion"/>
  <hyperlinks>
    <hyperlink ref="D41" location="'Cash Flow Statement'!A68" display="Cash flows from financing activities     " xr:uid="{00000000-0004-0000-0800-000000000000}"/>
    <hyperlink ref="D29" location="'Cash Flow Statement'!A70" display="Cash flows from investing activities" xr:uid="{00000000-0004-0000-0800-000001000000}"/>
    <hyperlink ref="D13" location="'Cash Flow Statement'!A74" display="User charges and other fines (inclusive of GST)" xr:uid="{00000000-0004-0000-0800-000002000000}"/>
  </hyperlinks>
  <printOptions horizontalCentered="1"/>
  <pageMargins left="0.31496062992125984" right="0.31496062992125984" top="0.35433070866141736" bottom="0.35433070866141736" header="0.11811023622047245" footer="0.11811023622047245"/>
  <pageSetup paperSize="9" fitToHeight="2" orientation="portrait" r:id="rId2"/>
  <headerFooter alignWithMargins="0">
    <oddFooter>&amp;C&amp;P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51</vt:i4>
      </vt:variant>
    </vt:vector>
  </HeadingPairs>
  <TitlesOfParts>
    <vt:vector size="81" baseType="lpstr">
      <vt:lpstr>1stPAGE</vt:lpstr>
      <vt:lpstr>Merge Details_Printing instr</vt:lpstr>
      <vt:lpstr>Background</vt:lpstr>
      <vt:lpstr>Checklist</vt:lpstr>
      <vt:lpstr>Cover</vt:lpstr>
      <vt:lpstr>Table of Contents</vt:lpstr>
      <vt:lpstr>Stat' of Comprehensive Income</vt:lpstr>
      <vt:lpstr>Stat' of Financial Position</vt:lpstr>
      <vt:lpstr>Stat of Cash Flows</vt:lpstr>
      <vt:lpstr>Statement Changes in Equity</vt:lpstr>
      <vt:lpstr>Note 1</vt:lpstr>
      <vt:lpstr>Note 1.5</vt:lpstr>
      <vt:lpstr>Notes 2 to 5</vt:lpstr>
      <vt:lpstr>Note 6</vt:lpstr>
      <vt:lpstr>Note 6 (cont) </vt:lpstr>
      <vt:lpstr>Note 6 to 8</vt:lpstr>
      <vt:lpstr>Note 9</vt:lpstr>
      <vt:lpstr>Note 9.11a &amp; b</vt:lpstr>
      <vt:lpstr>Note 9.11c</vt:lpstr>
      <vt:lpstr>Note 9.12 &amp; 9.13</vt:lpstr>
      <vt:lpstr>Notes 9.14</vt:lpstr>
      <vt:lpstr>Note 10.1(i)</vt:lpstr>
      <vt:lpstr>Note 10.1(ii) &amp; 10.2</vt:lpstr>
      <vt:lpstr>Note 10.3</vt:lpstr>
      <vt:lpstr>Note 10.4</vt:lpstr>
      <vt:lpstr>Note 10.5</vt:lpstr>
      <vt:lpstr>Note 10.6</vt:lpstr>
      <vt:lpstr>Certification</vt:lpstr>
      <vt:lpstr>Management Certification</vt:lpstr>
      <vt:lpstr>Submission Checklist</vt:lpstr>
      <vt:lpstr>'Note 1'!_Toc290988855</vt:lpstr>
      <vt:lpstr>'Notes 2 to 5'!_Toc513449001</vt:lpstr>
      <vt:lpstr>'Notes 9.14'!_Toc513449001</vt:lpstr>
      <vt:lpstr>'1stPAGE'!Print_Area</vt:lpstr>
      <vt:lpstr>Background!Print_Area</vt:lpstr>
      <vt:lpstr>Certification!Print_Area</vt:lpstr>
      <vt:lpstr>Checklist!Print_Area</vt:lpstr>
      <vt:lpstr>Cover!Print_Area</vt:lpstr>
      <vt:lpstr>'Management Certification'!Print_Area</vt:lpstr>
      <vt:lpstr>'Merge Details_Printing instr'!Print_Area</vt:lpstr>
      <vt:lpstr>'Note 1'!Print_Area</vt:lpstr>
      <vt:lpstr>'Note 1.5'!Print_Area</vt:lpstr>
      <vt:lpstr>'Note 10.1(i)'!Print_Area</vt:lpstr>
      <vt:lpstr>'Note 10.1(ii) &amp; 10.2'!Print_Area</vt:lpstr>
      <vt:lpstr>'Note 10.3'!Print_Area</vt:lpstr>
      <vt:lpstr>'Note 10.4'!Print_Area</vt:lpstr>
      <vt:lpstr>'Note 10.5'!Print_Area</vt:lpstr>
      <vt:lpstr>'Note 10.6'!Print_Area</vt:lpstr>
      <vt:lpstr>'Note 6'!Print_Area</vt:lpstr>
      <vt:lpstr>'Note 6 (cont) '!Print_Area</vt:lpstr>
      <vt:lpstr>'Note 6 to 8'!Print_Area</vt:lpstr>
      <vt:lpstr>'Note 9'!Print_Area</vt:lpstr>
      <vt:lpstr>'Note 9.11a &amp; b'!Print_Area</vt:lpstr>
      <vt:lpstr>'Note 9.11c'!Print_Area</vt:lpstr>
      <vt:lpstr>'Note 9.12 &amp; 9.13'!Print_Area</vt:lpstr>
      <vt:lpstr>'Notes 2 to 5'!Print_Area</vt:lpstr>
      <vt:lpstr>'Notes 9.14'!Print_Area</vt:lpstr>
      <vt:lpstr>'Stat of Cash Flows'!Print_Area</vt:lpstr>
      <vt:lpstr>'Stat'' of Comprehensive Income'!Print_Area</vt:lpstr>
      <vt:lpstr>'Stat'' of Financial Position'!Print_Area</vt:lpstr>
      <vt:lpstr>'Statement Changes in Equity'!Print_Area</vt:lpstr>
      <vt:lpstr>'Submission Checklist'!Print_Area</vt:lpstr>
      <vt:lpstr>'Table of Contents'!Print_Area</vt:lpstr>
      <vt:lpstr>'Note 1'!Print_Titles</vt:lpstr>
      <vt:lpstr>'Note 1.5'!Print_Titles</vt:lpstr>
      <vt:lpstr>'Note 10.1(i)'!Print_Titles</vt:lpstr>
      <vt:lpstr>'Note 10.1(ii) &amp; 10.2'!Print_Titles</vt:lpstr>
      <vt:lpstr>'Note 10.3'!Print_Titles</vt:lpstr>
      <vt:lpstr>'Note 10.4'!Print_Titles</vt:lpstr>
      <vt:lpstr>'Note 10.6'!Print_Titles</vt:lpstr>
      <vt:lpstr>'Note 6'!Print_Titles</vt:lpstr>
      <vt:lpstr>'Note 6 (cont) '!Print_Titles</vt:lpstr>
      <vt:lpstr>'Note 6 to 8'!Print_Titles</vt:lpstr>
      <vt:lpstr>'Note 9'!Print_Titles</vt:lpstr>
      <vt:lpstr>'Note 9.11a &amp; b'!Print_Titles</vt:lpstr>
      <vt:lpstr>'Note 9.11c'!Print_Titles</vt:lpstr>
      <vt:lpstr>'Note 9.12 &amp; 9.13'!Print_Titles</vt:lpstr>
      <vt:lpstr>'Notes 2 to 5'!Print_Titles</vt:lpstr>
      <vt:lpstr>'Notes 9.14'!Print_Titles</vt:lpstr>
      <vt:lpstr>'Stat'' of Comprehensive Income'!Print_Titles</vt:lpstr>
      <vt:lpstr>'Table of Contents'!Print_Titles</vt:lpstr>
    </vt:vector>
  </TitlesOfParts>
  <Company>TAO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Tasmanian Audit Office - Local Government Model Financial Report</dc:title>
  <dc:creator>TAO</dc:creator>
  <cp:lastModifiedBy>Tongs, Jeff</cp:lastModifiedBy>
  <cp:lastPrinted>2024-06-28T04:30:28Z</cp:lastPrinted>
  <dcterms:created xsi:type="dcterms:W3CDTF">2001-07-16T11:59:26Z</dcterms:created>
  <dcterms:modified xsi:type="dcterms:W3CDTF">2024-07-18T00:06:02Z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-30171791</vt:i4>
  </property>
  <property fmtid="{D5CDD505-2E9C-101B-9397-08002B2CF9AE}" pid="4" name="_EmailSubject">
    <vt:lpwstr>Content Manager Non Audit Document : DOC/24/3606 : Tasmanian Audit Office - Local Government Model Financial Report - 30 June 2024</vt:lpwstr>
  </property>
  <property fmtid="{D5CDD505-2E9C-101B-9397-08002B2CF9AE}" pid="5" name="_AuthorEmail">
    <vt:lpwstr>Jeff.Tongs@audit.tas.gov.au</vt:lpwstr>
  </property>
  <property fmtid="{D5CDD505-2E9C-101B-9397-08002B2CF9AE}" pid="6" name="_AuthorEmailDisplayName">
    <vt:lpwstr>Tongs, Jeff</vt:lpwstr>
  </property>
</Properties>
</file>